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threadedComments/threadedComment1.xml" ContentType="application/vnd.ms-excel.threadedcomments+xml"/>
  <Override PartName="/xl/comments1.xml" ContentType="application/vnd.openxmlformats-officedocument.spreadsheetml.comments+xml"/>
  <Override PartName="/xl/persons/person.xml" ContentType="application/vnd.ms-excel.person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dot\DFSRoot01\Groups-TPMUCC\ProgramManagement–Grants\RAISE 2023\B - Projects WALK NC intersections\02 files from VHB\WALK NC_2023_Files for Upload\NCDOT Web Files\"/>
    </mc:Choice>
  </mc:AlternateContent>
  <xr:revisionPtr revIDLastSave="0" documentId="13_ncr:1_{A79E19B1-8196-45C2-9BCD-37CB5BDD6716}" xr6:coauthVersionLast="47" xr6:coauthVersionMax="47" xr10:uidLastSave="{00000000-0000-0000-0000-000000000000}"/>
  <workbookProtection workbookAlgorithmName="SHA-512" workbookHashValue="+ZllPA8a8UKbmFRinj0uQsIz594Al5V5P/fLuuuBd7hDIximNwvi/BwkjunbDTGsQaYtei2/2SFKVSWBNWEOjA==" workbookSaltValue="rhTNuy6xsIUVXr5aJPlhSA==" workbookSpinCount="100000" lockStructure="1"/>
  <bookViews>
    <workbookView xWindow="38280" yWindow="-120" windowWidth="29040" windowHeight="17640" tabRatio="799" activeTab="10" xr2:uid="{18E47465-DD3C-4FCA-A4AA-26B5F27B4C63}"/>
  </bookViews>
  <sheets>
    <sheet name="BCA" sheetId="11" r:id="rId1"/>
    <sheet name="Pop. Projections" sheetId="10" r:id="rId2"/>
    <sheet name="Safety and Crash Costs" sheetId="4" r:id="rId3"/>
    <sheet name="Safety CMFs" sheetId="1" r:id="rId4"/>
    <sheet name="Health - Mortality" sheetId="12" r:id="rId5"/>
    <sheet name="Health - Emissions" sheetId="6" r:id="rId6"/>
    <sheet name="Trip Multipliers" sheetId="15" r:id="rId7"/>
    <sheet name="Economic Activity" sheetId="7" r:id="rId8"/>
    <sheet name="Residual Value" sheetId="14" r:id="rId9"/>
    <sheet name="Capital Cost" sheetId="13" r:id="rId10"/>
    <sheet name="O&amp;M" sheetId="16" r:id="rId11"/>
  </sheets>
  <definedNames>
    <definedName name="_xlnm._FilterDatabase" localSheetId="1" hidden="1">'Pop. Projections'!$C$5:$G$19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46" i="11" l="1"/>
  <c r="DQ32" i="11"/>
  <c r="DP31" i="11"/>
  <c r="DP32" i="11"/>
  <c r="DK32" i="11"/>
  <c r="R32" i="11"/>
  <c r="M32" i="11"/>
  <c r="E50" i="11"/>
  <c r="C50" i="11"/>
  <c r="D50" i="11"/>
  <c r="Y11" i="6"/>
  <c r="U11" i="6"/>
  <c r="BF29" i="12"/>
  <c r="II32" i="11"/>
  <c r="IM32" i="11"/>
  <c r="IN32" i="11"/>
  <c r="IO32" i="11"/>
  <c r="IT32" i="11"/>
  <c r="IR11" i="11"/>
  <c r="IU11" i="11"/>
  <c r="IV11" i="11" s="1"/>
  <c r="IG12" i="11"/>
  <c r="IR12" i="11"/>
  <c r="IC32" i="11"/>
  <c r="HR32" i="11"/>
  <c r="HV32" i="11"/>
  <c r="HW32" i="11"/>
  <c r="HX32" i="11"/>
  <c r="IA11" i="11"/>
  <c r="ID11" i="11"/>
  <c r="IE11" i="11" s="1"/>
  <c r="HP12" i="11"/>
  <c r="IA12" i="11"/>
  <c r="HL32" i="11"/>
  <c r="HA32" i="11"/>
  <c r="HE32" i="11"/>
  <c r="HF32" i="11"/>
  <c r="HG32" i="11"/>
  <c r="HJ11" i="11"/>
  <c r="HM11" i="11" s="1"/>
  <c r="HN11" i="11" s="1"/>
  <c r="GY12" i="11"/>
  <c r="HJ12" i="11"/>
  <c r="GY13" i="11"/>
  <c r="HJ13" i="11"/>
  <c r="GJ32" i="11"/>
  <c r="GN32" i="11"/>
  <c r="GO32" i="11"/>
  <c r="GP32" i="11"/>
  <c r="GU32" i="11"/>
  <c r="GS12" i="11"/>
  <c r="GS13" i="11"/>
  <c r="GS14" i="11"/>
  <c r="GS15" i="11"/>
  <c r="GS16" i="11"/>
  <c r="GS17" i="11"/>
  <c r="GS18" i="11"/>
  <c r="GS19" i="11"/>
  <c r="GS20" i="11"/>
  <c r="GS21" i="11"/>
  <c r="GS22" i="11"/>
  <c r="GS23" i="11"/>
  <c r="GS24" i="11"/>
  <c r="GS25" i="11"/>
  <c r="GS26" i="11"/>
  <c r="GS27" i="11"/>
  <c r="GS28" i="11"/>
  <c r="GS29" i="11"/>
  <c r="GS30" i="11"/>
  <c r="GS31" i="11"/>
  <c r="GS11" i="11"/>
  <c r="GV11" i="11" s="1"/>
  <c r="GW11" i="11" s="1"/>
  <c r="GH12" i="11"/>
  <c r="FS32" i="11"/>
  <c r="FW32" i="11"/>
  <c r="FX32" i="11"/>
  <c r="FY32" i="11"/>
  <c r="GD32" i="11"/>
  <c r="GB12" i="11"/>
  <c r="GB13" i="11"/>
  <c r="GB14" i="11"/>
  <c r="GB32" i="11" s="1"/>
  <c r="GB15" i="11"/>
  <c r="GB16" i="11"/>
  <c r="GB17" i="11"/>
  <c r="GB18" i="11"/>
  <c r="GB19" i="11"/>
  <c r="GB20" i="11"/>
  <c r="GB21" i="11"/>
  <c r="GB22" i="11"/>
  <c r="GB23" i="11"/>
  <c r="GB24" i="11"/>
  <c r="GB25" i="11"/>
  <c r="GB26" i="11"/>
  <c r="GB27" i="11"/>
  <c r="GB28" i="11"/>
  <c r="GB29" i="11"/>
  <c r="GB30" i="11"/>
  <c r="GB31" i="11"/>
  <c r="GB11" i="11"/>
  <c r="GE11" i="11" s="1"/>
  <c r="GF11" i="11" s="1"/>
  <c r="FQ12" i="11"/>
  <c r="FB32" i="11"/>
  <c r="FF32" i="11"/>
  <c r="FG32" i="11"/>
  <c r="FH32" i="11"/>
  <c r="FM32" i="11"/>
  <c r="EK32" i="11"/>
  <c r="EO32" i="11"/>
  <c r="EP32" i="11"/>
  <c r="EQ32" i="11"/>
  <c r="EV32" i="11"/>
  <c r="FK12" i="11"/>
  <c r="FK13" i="11"/>
  <c r="FK14" i="11"/>
  <c r="FK15" i="11"/>
  <c r="FK16" i="11"/>
  <c r="FK17" i="11"/>
  <c r="FK18" i="11"/>
  <c r="FK19" i="11"/>
  <c r="FK20" i="11"/>
  <c r="FK21" i="11"/>
  <c r="FK22" i="11"/>
  <c r="FK23" i="11"/>
  <c r="FK24" i="11"/>
  <c r="FK25" i="11"/>
  <c r="FK26" i="11"/>
  <c r="FK27" i="11"/>
  <c r="FK28" i="11"/>
  <c r="FK29" i="11"/>
  <c r="FK30" i="11"/>
  <c r="FK31" i="11"/>
  <c r="FK11" i="11"/>
  <c r="FN11" i="11" s="1"/>
  <c r="FO11" i="11" s="1"/>
  <c r="EZ12" i="11"/>
  <c r="ET12" i="11"/>
  <c r="ET13" i="11"/>
  <c r="ET14" i="11"/>
  <c r="ET15" i="11"/>
  <c r="ET16" i="11"/>
  <c r="ET17" i="11"/>
  <c r="ET18" i="11"/>
  <c r="ET19" i="11"/>
  <c r="ET20" i="11"/>
  <c r="ET21" i="11"/>
  <c r="ET22" i="11"/>
  <c r="ET23" i="11"/>
  <c r="ET24" i="11"/>
  <c r="ET25" i="11"/>
  <c r="ET26" i="11"/>
  <c r="ET27" i="11"/>
  <c r="ET28" i="11"/>
  <c r="ET29" i="11"/>
  <c r="ET30" i="11"/>
  <c r="ET31" i="11"/>
  <c r="ET11" i="11"/>
  <c r="EI12" i="11"/>
  <c r="EE32" i="11"/>
  <c r="EC11" i="11"/>
  <c r="EF11" i="11" s="1"/>
  <c r="EC12" i="11"/>
  <c r="DT32" i="11"/>
  <c r="DX32" i="11"/>
  <c r="DY32" i="11"/>
  <c r="DZ32" i="11"/>
  <c r="DR12" i="11"/>
  <c r="DN32" i="11"/>
  <c r="DL12" i="11"/>
  <c r="DL13" i="11"/>
  <c r="DL14" i="11"/>
  <c r="DL15" i="11"/>
  <c r="DL16" i="11"/>
  <c r="DL17" i="11"/>
  <c r="DL18" i="11"/>
  <c r="DL19" i="11"/>
  <c r="DL20" i="11"/>
  <c r="DL21" i="11"/>
  <c r="DL22" i="11"/>
  <c r="DL23" i="11"/>
  <c r="DL24" i="11"/>
  <c r="DL25" i="11"/>
  <c r="DL26" i="11"/>
  <c r="DL27" i="11"/>
  <c r="DL28" i="11"/>
  <c r="DL29" i="11"/>
  <c r="DL30" i="11"/>
  <c r="DL31" i="11"/>
  <c r="DL11" i="11"/>
  <c r="DO11" i="11" s="1"/>
  <c r="DP11" i="11" s="1"/>
  <c r="DC32" i="11"/>
  <c r="DG32" i="11"/>
  <c r="DH32" i="11"/>
  <c r="DI32" i="11"/>
  <c r="DA12" i="11"/>
  <c r="CW32" i="11"/>
  <c r="CR32" i="11"/>
  <c r="CQ32" i="11"/>
  <c r="CP32" i="11"/>
  <c r="CL32" i="11"/>
  <c r="CU12" i="11"/>
  <c r="CU13" i="11"/>
  <c r="CU14" i="11"/>
  <c r="CU15" i="11"/>
  <c r="CU16" i="11"/>
  <c r="CU17" i="11"/>
  <c r="CU18" i="11"/>
  <c r="CU19" i="11"/>
  <c r="CU20" i="11"/>
  <c r="CU21" i="11"/>
  <c r="CU22" i="11"/>
  <c r="CU23" i="11"/>
  <c r="CU24" i="11"/>
  <c r="CU25" i="11"/>
  <c r="CU26" i="11"/>
  <c r="CU27" i="11"/>
  <c r="CU28" i="11"/>
  <c r="CU29" i="11"/>
  <c r="CU30" i="11"/>
  <c r="CU31" i="11"/>
  <c r="CU11" i="11"/>
  <c r="CX11" i="11" s="1"/>
  <c r="CY11" i="11" s="1"/>
  <c r="CJ12" i="11"/>
  <c r="CF32" i="11"/>
  <c r="CD12" i="11"/>
  <c r="CD13" i="11"/>
  <c r="CD14" i="11"/>
  <c r="CD15" i="11"/>
  <c r="CD16" i="11"/>
  <c r="CD17" i="11"/>
  <c r="CD18" i="11"/>
  <c r="CD19" i="11"/>
  <c r="CD20" i="11"/>
  <c r="CD21" i="11"/>
  <c r="CD22" i="11"/>
  <c r="CD23" i="11"/>
  <c r="CD24" i="11"/>
  <c r="CD25" i="11"/>
  <c r="CD26" i="11"/>
  <c r="CD27" i="11"/>
  <c r="CD28" i="11"/>
  <c r="CD29" i="11"/>
  <c r="CD30" i="11"/>
  <c r="CD31" i="11"/>
  <c r="CD11" i="11"/>
  <c r="CG11" i="11" s="1"/>
  <c r="BU32" i="11"/>
  <c r="BY32" i="11"/>
  <c r="BZ32" i="11"/>
  <c r="CA32" i="11"/>
  <c r="BS12" i="11"/>
  <c r="BD32" i="11"/>
  <c r="BH32" i="11"/>
  <c r="BI32" i="11"/>
  <c r="BJ32" i="11"/>
  <c r="BO32" i="11"/>
  <c r="BM11" i="11"/>
  <c r="BP11" i="11" s="1"/>
  <c r="BM12" i="11"/>
  <c r="BB12" i="11"/>
  <c r="AM32" i="11"/>
  <c r="AQ32" i="11"/>
  <c r="I57" i="11" s="1"/>
  <c r="AR32" i="11"/>
  <c r="AS32" i="11"/>
  <c r="AX32" i="11"/>
  <c r="AV12" i="11"/>
  <c r="AV13" i="11"/>
  <c r="AV14" i="11"/>
  <c r="AV15" i="11"/>
  <c r="AV16" i="11"/>
  <c r="AV17" i="11"/>
  <c r="AV18" i="11"/>
  <c r="AV19" i="11"/>
  <c r="AV20" i="11"/>
  <c r="AV21" i="11"/>
  <c r="AV22" i="11"/>
  <c r="AV23" i="11"/>
  <c r="AV24" i="11"/>
  <c r="AV25" i="11"/>
  <c r="AV26" i="11"/>
  <c r="AV27" i="11"/>
  <c r="AV28" i="11"/>
  <c r="AV29" i="11"/>
  <c r="AV30" i="11"/>
  <c r="AV31" i="11"/>
  <c r="AV11" i="11"/>
  <c r="AY11" i="11" s="1"/>
  <c r="AK12" i="11"/>
  <c r="V32" i="11"/>
  <c r="Z32" i="11"/>
  <c r="AA32" i="11"/>
  <c r="J57" i="11" s="1"/>
  <c r="AB32" i="11"/>
  <c r="K57" i="11" s="1"/>
  <c r="AG32" i="11"/>
  <c r="AE12" i="11"/>
  <c r="AE13" i="11"/>
  <c r="AE14" i="11"/>
  <c r="AE15" i="11"/>
  <c r="AE16" i="11"/>
  <c r="AE17" i="11"/>
  <c r="AE18" i="11"/>
  <c r="AE19" i="11"/>
  <c r="AE20" i="11"/>
  <c r="AE21" i="11"/>
  <c r="AE22" i="11"/>
  <c r="AE23" i="11"/>
  <c r="AE24" i="11"/>
  <c r="AE25" i="11"/>
  <c r="AE26" i="11"/>
  <c r="AE27" i="11"/>
  <c r="AE28" i="11"/>
  <c r="AE29" i="11"/>
  <c r="AE30" i="11"/>
  <c r="AE31" i="11"/>
  <c r="AE11" i="11"/>
  <c r="AH11" i="11" s="1"/>
  <c r="T12" i="11"/>
  <c r="K32" i="11"/>
  <c r="J32" i="11"/>
  <c r="I32" i="11"/>
  <c r="E32" i="11"/>
  <c r="E57" i="11" s="1"/>
  <c r="P32" i="11"/>
  <c r="P57" i="11" s="1"/>
  <c r="N12" i="11"/>
  <c r="N13" i="11"/>
  <c r="N14" i="11"/>
  <c r="N15" i="11"/>
  <c r="N16" i="11"/>
  <c r="N17" i="11"/>
  <c r="N18" i="11"/>
  <c r="N19" i="11"/>
  <c r="N20" i="11"/>
  <c r="N21" i="11"/>
  <c r="N22" i="11"/>
  <c r="N23" i="11"/>
  <c r="N24" i="11"/>
  <c r="N25" i="11"/>
  <c r="N26" i="11"/>
  <c r="N27" i="11"/>
  <c r="N28" i="11"/>
  <c r="N29" i="11"/>
  <c r="N30" i="11"/>
  <c r="N31" i="11"/>
  <c r="N11" i="11"/>
  <c r="Q11" i="11" s="1"/>
  <c r="R11" i="11" s="1"/>
  <c r="C12" i="11"/>
  <c r="C13" i="11"/>
  <c r="C4" i="16"/>
  <c r="C9" i="16" s="1"/>
  <c r="C10" i="16" s="1"/>
  <c r="O12" i="11" s="1"/>
  <c r="R7" i="13"/>
  <c r="C28" i="14"/>
  <c r="C8" i="14"/>
  <c r="C9" i="14"/>
  <c r="C10" i="14"/>
  <c r="C11" i="14"/>
  <c r="C12" i="14"/>
  <c r="C13" i="14"/>
  <c r="C14" i="14"/>
  <c r="C15" i="14"/>
  <c r="C16" i="14"/>
  <c r="C17" i="14"/>
  <c r="C18" i="14"/>
  <c r="C19" i="14"/>
  <c r="C20" i="14"/>
  <c r="C21" i="14"/>
  <c r="C22" i="14"/>
  <c r="C23" i="14"/>
  <c r="C24" i="14"/>
  <c r="C25" i="14"/>
  <c r="C26" i="14"/>
  <c r="C27" i="14"/>
  <c r="C3" i="14"/>
  <c r="C4" i="14"/>
  <c r="C5" i="14"/>
  <c r="C6" i="14"/>
  <c r="C7" i="14"/>
  <c r="F20" i="15"/>
  <c r="GS32" i="11" l="1"/>
  <c r="Q12" i="11"/>
  <c r="R12" i="11" s="1"/>
  <c r="N32" i="11"/>
  <c r="CD32" i="11"/>
  <c r="ET32" i="11"/>
  <c r="AE32" i="11"/>
  <c r="AV32" i="11"/>
  <c r="AI11" i="11"/>
  <c r="CH11" i="11"/>
  <c r="AZ11" i="11"/>
  <c r="EG11" i="11"/>
  <c r="CU32" i="11"/>
  <c r="EW11" i="11"/>
  <c r="FK32" i="11"/>
  <c r="BQ11" i="11"/>
  <c r="DL32" i="11"/>
  <c r="Q8" i="16"/>
  <c r="EX11" i="11" l="1"/>
  <c r="S30" i="4"/>
  <c r="S31" i="4"/>
  <c r="S32" i="4"/>
  <c r="S33" i="4"/>
  <c r="S34" i="4"/>
  <c r="S35" i="4"/>
  <c r="S36" i="4"/>
  <c r="S37" i="4"/>
  <c r="S38" i="4"/>
  <c r="S39" i="4"/>
  <c r="S40" i="4"/>
  <c r="S41" i="4"/>
  <c r="S42" i="4"/>
  <c r="S43" i="4"/>
  <c r="S29" i="4"/>
  <c r="R30" i="4"/>
  <c r="R31" i="4"/>
  <c r="R32" i="4"/>
  <c r="R33" i="4"/>
  <c r="R34" i="4"/>
  <c r="R35" i="4"/>
  <c r="R36" i="4"/>
  <c r="R37" i="4"/>
  <c r="R38" i="4"/>
  <c r="R39" i="4"/>
  <c r="R40" i="4"/>
  <c r="R41" i="4"/>
  <c r="R42" i="4"/>
  <c r="R43" i="4"/>
  <c r="R29" i="4"/>
  <c r="Q30" i="4"/>
  <c r="Q31" i="4"/>
  <c r="Q32" i="4"/>
  <c r="Q33" i="4"/>
  <c r="Q34" i="4"/>
  <c r="Q35" i="4"/>
  <c r="Q36" i="4"/>
  <c r="Q37" i="4"/>
  <c r="Q38" i="4"/>
  <c r="Q39" i="4"/>
  <c r="Q40" i="4"/>
  <c r="Q41" i="4"/>
  <c r="Q42" i="4"/>
  <c r="Q43" i="4"/>
  <c r="Q29" i="4"/>
  <c r="P30" i="4"/>
  <c r="P31" i="4"/>
  <c r="P32" i="4"/>
  <c r="P33" i="4"/>
  <c r="P34" i="4"/>
  <c r="P35" i="4"/>
  <c r="P36" i="4"/>
  <c r="P37" i="4"/>
  <c r="P38" i="4"/>
  <c r="P39" i="4"/>
  <c r="P40" i="4"/>
  <c r="P41" i="4"/>
  <c r="P42" i="4"/>
  <c r="P43" i="4"/>
  <c r="P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29" i="4"/>
  <c r="N29" i="4"/>
  <c r="P14" i="4"/>
  <c r="R4" i="12"/>
  <c r="P4" i="12"/>
  <c r="F56" i="6"/>
  <c r="F55" i="6"/>
  <c r="F21" i="15"/>
  <c r="D3" i="10"/>
  <c r="C3" i="10"/>
  <c r="N9" i="16"/>
  <c r="Q9" i="16"/>
  <c r="Q10" i="16" s="1"/>
  <c r="D8" i="16"/>
  <c r="E8" i="16"/>
  <c r="F8" i="16"/>
  <c r="G8" i="16"/>
  <c r="H8" i="16"/>
  <c r="I8" i="16"/>
  <c r="J8" i="16"/>
  <c r="K8" i="16"/>
  <c r="L8" i="16"/>
  <c r="M8" i="16"/>
  <c r="N8" i="16"/>
  <c r="O8" i="16"/>
  <c r="P8" i="16"/>
  <c r="C8" i="16"/>
  <c r="D4" i="16"/>
  <c r="D9" i="16" s="1"/>
  <c r="D10" i="16" s="1"/>
  <c r="AF12" i="11" s="1"/>
  <c r="E4" i="16"/>
  <c r="E9" i="16" s="1"/>
  <c r="F4" i="16"/>
  <c r="F9" i="16" s="1"/>
  <c r="G4" i="16"/>
  <c r="G9" i="16" s="1"/>
  <c r="G10" i="16" s="1"/>
  <c r="CE12" i="11" s="1"/>
  <c r="CG12" i="11" s="1"/>
  <c r="CH12" i="11" s="1"/>
  <c r="H4" i="16"/>
  <c r="H9" i="16" s="1"/>
  <c r="I4" i="16"/>
  <c r="J4" i="16"/>
  <c r="K4" i="16"/>
  <c r="L4" i="16"/>
  <c r="L9" i="16" s="1"/>
  <c r="L10" i="16" s="1"/>
  <c r="FL12" i="11" s="1"/>
  <c r="FN12" i="11" s="1"/>
  <c r="FO12" i="11" s="1"/>
  <c r="M4" i="16"/>
  <c r="M9" i="16" s="1"/>
  <c r="M10" i="16" s="1"/>
  <c r="GC12" i="11" s="1"/>
  <c r="GE12" i="11" s="1"/>
  <c r="GF12" i="11" s="1"/>
  <c r="N4" i="16"/>
  <c r="O4" i="16"/>
  <c r="O9" i="16" s="1"/>
  <c r="P4" i="16"/>
  <c r="P9" i="16" s="1"/>
  <c r="P10" i="16" s="1"/>
  <c r="IB12" i="11" s="1"/>
  <c r="ID12" i="11" s="1"/>
  <c r="IE12" i="11" s="1"/>
  <c r="Q4" i="16"/>
  <c r="IS27" i="11" l="1"/>
  <c r="IS12" i="11"/>
  <c r="IU12" i="11" s="1"/>
  <c r="IV12" i="11" s="1"/>
  <c r="AF23" i="11"/>
  <c r="AF18" i="11"/>
  <c r="AF30" i="11"/>
  <c r="AF16" i="11"/>
  <c r="AF19" i="11"/>
  <c r="AF22" i="11"/>
  <c r="AF27" i="11"/>
  <c r="AF28" i="11"/>
  <c r="AF29" i="11"/>
  <c r="AF31" i="11"/>
  <c r="AF13" i="11"/>
  <c r="AF14" i="11"/>
  <c r="AF15" i="11"/>
  <c r="AF17" i="11"/>
  <c r="FL23" i="11"/>
  <c r="FL25" i="11"/>
  <c r="FL26" i="11"/>
  <c r="FL17" i="11"/>
  <c r="FL24" i="11"/>
  <c r="FL27" i="11"/>
  <c r="FL30" i="11"/>
  <c r="FL28" i="11"/>
  <c r="FL15" i="11"/>
  <c r="FL18" i="11"/>
  <c r="FL19" i="11"/>
  <c r="FL20" i="11"/>
  <c r="FL14" i="11"/>
  <c r="FL31" i="11"/>
  <c r="FL13" i="11"/>
  <c r="FL21" i="11"/>
  <c r="FL22" i="11"/>
  <c r="FL29" i="11"/>
  <c r="FL16" i="11"/>
  <c r="GC27" i="11"/>
  <c r="GC14" i="11"/>
  <c r="GC15" i="11"/>
  <c r="GC31" i="11"/>
  <c r="GC17" i="11"/>
  <c r="GC28" i="11"/>
  <c r="GC29" i="11"/>
  <c r="GC30" i="11"/>
  <c r="GC16" i="11"/>
  <c r="GC19" i="11"/>
  <c r="GC13" i="11"/>
  <c r="GC22" i="11"/>
  <c r="GC23" i="11"/>
  <c r="GC24" i="11"/>
  <c r="GC26" i="11"/>
  <c r="GC18" i="11"/>
  <c r="GC25" i="11"/>
  <c r="GC20" i="11"/>
  <c r="GC21" i="11"/>
  <c r="CE19" i="11"/>
  <c r="CE22" i="11"/>
  <c r="CE26" i="11"/>
  <c r="CE28" i="11"/>
  <c r="CE20" i="11"/>
  <c r="CE21" i="11"/>
  <c r="CE23" i="11"/>
  <c r="CE29" i="11"/>
  <c r="CE14" i="11"/>
  <c r="CE30" i="11"/>
  <c r="CE15" i="11"/>
  <c r="CE31" i="11"/>
  <c r="CE16" i="11"/>
  <c r="CE17" i="11"/>
  <c r="CE25" i="11"/>
  <c r="CE13" i="11"/>
  <c r="CE18" i="11"/>
  <c r="CE24" i="11"/>
  <c r="CE27" i="11"/>
  <c r="IB23" i="11"/>
  <c r="IB26" i="11"/>
  <c r="IB28" i="11"/>
  <c r="IB15" i="11"/>
  <c r="IB16" i="11"/>
  <c r="IB24" i="11"/>
  <c r="IB25" i="11"/>
  <c r="IB27" i="11"/>
  <c r="IB29" i="11"/>
  <c r="IB13" i="11"/>
  <c r="IB30" i="11"/>
  <c r="IB18" i="11"/>
  <c r="IB19" i="11"/>
  <c r="IB20" i="11"/>
  <c r="IB22" i="11"/>
  <c r="IB31" i="11"/>
  <c r="IB21" i="11"/>
  <c r="IB14" i="11"/>
  <c r="IB17" i="11"/>
  <c r="IS31" i="11"/>
  <c r="IS28" i="11"/>
  <c r="IS30" i="11"/>
  <c r="IS29" i="11"/>
  <c r="IS14" i="11"/>
  <c r="IS15" i="11"/>
  <c r="IS16" i="11"/>
  <c r="IS17" i="11"/>
  <c r="IS18" i="11"/>
  <c r="IS19" i="11"/>
  <c r="IS20" i="11"/>
  <c r="IS21" i="11"/>
  <c r="IS22" i="11"/>
  <c r="IS23" i="11"/>
  <c r="IS24" i="11"/>
  <c r="IS25" i="11"/>
  <c r="IS13" i="11"/>
  <c r="IS26" i="11"/>
  <c r="AF21" i="11"/>
  <c r="AF20" i="11"/>
  <c r="O10" i="16"/>
  <c r="N10" i="16"/>
  <c r="GT12" i="11" s="1"/>
  <c r="GV12" i="11" s="1"/>
  <c r="GW12" i="11" s="1"/>
  <c r="K9" i="16"/>
  <c r="K10" i="16" s="1"/>
  <c r="EU12" i="11" s="1"/>
  <c r="EW12" i="11" s="1"/>
  <c r="EX12" i="11" s="1"/>
  <c r="J9" i="16"/>
  <c r="J10" i="16" s="1"/>
  <c r="ED12" i="11" s="1"/>
  <c r="EF12" i="11" s="1"/>
  <c r="EG12" i="11" s="1"/>
  <c r="AF25" i="11"/>
  <c r="AF24" i="11"/>
  <c r="I9" i="16"/>
  <c r="I10" i="16" s="1"/>
  <c r="DM12" i="11" s="1"/>
  <c r="DO12" i="11" s="1"/>
  <c r="DP12" i="11" s="1"/>
  <c r="AF26" i="11"/>
  <c r="E10" i="16"/>
  <c r="AW12" i="11" s="1"/>
  <c r="F10" i="16"/>
  <c r="BN12" i="11" s="1"/>
  <c r="BP12" i="11" s="1"/>
  <c r="BQ12" i="11" s="1"/>
  <c r="H10" i="16"/>
  <c r="CV12" i="11" s="1"/>
  <c r="CX12" i="11" s="1"/>
  <c r="CY12" i="11" s="1"/>
  <c r="HK13" i="11" l="1"/>
  <c r="HM13" i="11" s="1"/>
  <c r="HN13" i="11" s="1"/>
  <c r="HK12" i="11"/>
  <c r="HM12" i="11" s="1"/>
  <c r="HN12" i="11" s="1"/>
  <c r="AF32" i="11"/>
  <c r="IB32" i="11"/>
  <c r="FL32" i="11"/>
  <c r="GC32" i="11"/>
  <c r="IS32" i="11"/>
  <c r="CE32" i="11"/>
  <c r="ED15" i="11"/>
  <c r="ED31" i="11"/>
  <c r="ED13" i="11"/>
  <c r="ED18" i="11"/>
  <c r="ED16" i="11"/>
  <c r="ED17" i="11"/>
  <c r="ED19" i="11"/>
  <c r="ED22" i="11"/>
  <c r="ED24" i="11"/>
  <c r="ED26" i="11"/>
  <c r="ED27" i="11"/>
  <c r="ED28" i="11"/>
  <c r="ED29" i="11"/>
  <c r="ED14" i="11"/>
  <c r="ED20" i="11"/>
  <c r="ED21" i="11"/>
  <c r="ED30" i="11"/>
  <c r="ED23" i="11"/>
  <c r="ED25" i="11"/>
  <c r="DM27" i="11"/>
  <c r="DM31" i="11"/>
  <c r="DM13" i="11"/>
  <c r="DM28" i="11"/>
  <c r="DM29" i="11"/>
  <c r="DM30" i="11"/>
  <c r="DM15" i="11"/>
  <c r="DM16" i="11"/>
  <c r="DM19" i="11"/>
  <c r="DM14" i="11"/>
  <c r="DM17" i="11"/>
  <c r="DM21" i="11"/>
  <c r="DM22" i="11"/>
  <c r="DM23" i="11"/>
  <c r="DM24" i="11"/>
  <c r="DM18" i="11"/>
  <c r="DM25" i="11"/>
  <c r="DM26" i="11"/>
  <c r="DM20" i="11"/>
  <c r="EU19" i="11"/>
  <c r="EU21" i="11"/>
  <c r="EU23" i="11"/>
  <c r="EU25" i="11"/>
  <c r="EU26" i="11"/>
  <c r="EU27" i="11"/>
  <c r="EU29" i="11"/>
  <c r="EU20" i="11"/>
  <c r="EU22" i="11"/>
  <c r="EU14" i="11"/>
  <c r="EU30" i="11"/>
  <c r="EU15" i="11"/>
  <c r="EU31" i="11"/>
  <c r="EU16" i="11"/>
  <c r="EU28" i="11"/>
  <c r="EU17" i="11"/>
  <c r="EU13" i="11"/>
  <c r="EU18" i="11"/>
  <c r="EU24" i="11"/>
  <c r="GT15" i="11"/>
  <c r="GT31" i="11"/>
  <c r="GT17" i="11"/>
  <c r="GT13" i="11"/>
  <c r="GT18" i="11"/>
  <c r="GT19" i="11"/>
  <c r="GT16" i="11"/>
  <c r="GT22" i="11"/>
  <c r="GT24" i="11"/>
  <c r="GT26" i="11"/>
  <c r="GT27" i="11"/>
  <c r="GT28" i="11"/>
  <c r="GT14" i="11"/>
  <c r="GT20" i="11"/>
  <c r="GT21" i="11"/>
  <c r="GT25" i="11"/>
  <c r="GT29" i="11"/>
  <c r="GT30" i="11"/>
  <c r="GT23" i="11"/>
  <c r="CV23" i="11"/>
  <c r="CV25" i="11"/>
  <c r="CV26" i="11"/>
  <c r="CV27" i="11"/>
  <c r="CV13" i="11"/>
  <c r="CV24" i="11"/>
  <c r="CV30" i="11"/>
  <c r="CV28" i="11"/>
  <c r="CV31" i="11"/>
  <c r="CV18" i="11"/>
  <c r="CV19" i="11"/>
  <c r="CV20" i="11"/>
  <c r="CV22" i="11"/>
  <c r="CV15" i="11"/>
  <c r="CV21" i="11"/>
  <c r="CV29" i="11"/>
  <c r="CV14" i="11"/>
  <c r="CV16" i="11"/>
  <c r="CV17" i="11"/>
  <c r="BN15" i="11"/>
  <c r="BN31" i="11"/>
  <c r="BN17" i="11"/>
  <c r="BN23" i="11"/>
  <c r="BN16" i="11"/>
  <c r="BN13" i="11"/>
  <c r="BN18" i="11"/>
  <c r="BN21" i="11"/>
  <c r="BN19" i="11"/>
  <c r="BN24" i="11"/>
  <c r="BN26" i="11"/>
  <c r="BN27" i="11"/>
  <c r="BN28" i="11"/>
  <c r="BN29" i="11"/>
  <c r="BN14" i="11"/>
  <c r="BN20" i="11"/>
  <c r="BN22" i="11"/>
  <c r="BN25" i="11"/>
  <c r="BN30" i="11"/>
  <c r="AW27" i="11"/>
  <c r="AW29" i="11"/>
  <c r="AW14" i="11"/>
  <c r="AW15" i="11"/>
  <c r="AW13" i="11"/>
  <c r="AW28" i="11"/>
  <c r="AW31" i="11"/>
  <c r="AW16" i="11"/>
  <c r="AW30" i="11"/>
  <c r="AW17" i="11"/>
  <c r="AW18" i="11"/>
  <c r="AW21" i="11"/>
  <c r="AW22" i="11"/>
  <c r="AW23" i="11"/>
  <c r="AW24" i="11"/>
  <c r="AW25" i="11"/>
  <c r="AW26" i="11"/>
  <c r="AW19" i="11"/>
  <c r="AW20" i="11"/>
  <c r="HK19" i="11"/>
  <c r="HK21" i="11"/>
  <c r="HK26" i="11"/>
  <c r="HK20" i="11"/>
  <c r="HK22" i="11"/>
  <c r="HK23" i="11"/>
  <c r="HK24" i="11"/>
  <c r="HK25" i="11"/>
  <c r="HK28" i="11"/>
  <c r="HK29" i="11"/>
  <c r="HK14" i="11"/>
  <c r="HK30" i="11"/>
  <c r="HK15" i="11"/>
  <c r="HK31" i="11"/>
  <c r="HK16" i="11"/>
  <c r="HK17" i="11"/>
  <c r="HK18" i="11"/>
  <c r="HK27" i="11"/>
  <c r="O19" i="11"/>
  <c r="O20" i="11"/>
  <c r="O22" i="11"/>
  <c r="O24" i="11"/>
  <c r="O21" i="11"/>
  <c r="O23" i="11"/>
  <c r="O28" i="11"/>
  <c r="O29" i="11"/>
  <c r="O14" i="11"/>
  <c r="O31" i="11"/>
  <c r="O15" i="11"/>
  <c r="O16" i="11"/>
  <c r="O13" i="11"/>
  <c r="O27" i="11"/>
  <c r="O17" i="11"/>
  <c r="O18" i="11"/>
  <c r="O25" i="11"/>
  <c r="O26" i="11"/>
  <c r="O30" i="11"/>
  <c r="EU32" i="11" l="1"/>
  <c r="AW32" i="11"/>
  <c r="ED32" i="11"/>
  <c r="DM32" i="11"/>
  <c r="GT32" i="11"/>
  <c r="O32" i="11"/>
  <c r="O57" i="11" s="1"/>
  <c r="BN32" i="11"/>
  <c r="CV32" i="11"/>
  <c r="HK32" i="11"/>
  <c r="L4" i="12"/>
  <c r="E20" i="15" l="1"/>
  <c r="F4" i="10" l="1"/>
  <c r="F3" i="10"/>
  <c r="L5" i="12"/>
  <c r="N30" i="4" l="1"/>
  <c r="N31" i="4"/>
  <c r="N32" i="4"/>
  <c r="N33" i="4"/>
  <c r="N34" i="4"/>
  <c r="N35" i="4"/>
  <c r="N36" i="4"/>
  <c r="N37" i="4"/>
  <c r="N38" i="4"/>
  <c r="N39" i="4"/>
  <c r="N40" i="4"/>
  <c r="N41" i="4"/>
  <c r="N42" i="4"/>
  <c r="N43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N13" i="4"/>
  <c r="K44" i="4"/>
  <c r="K30" i="4" l="1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29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13" i="4"/>
  <c r="T43" i="4"/>
  <c r="T42" i="4"/>
  <c r="T41" i="4"/>
  <c r="T40" i="4"/>
  <c r="T39" i="4"/>
  <c r="T38" i="4"/>
  <c r="T37" i="4"/>
  <c r="T36" i="4"/>
  <c r="T35" i="4"/>
  <c r="T34" i="4"/>
  <c r="T33" i="4"/>
  <c r="T32" i="4"/>
  <c r="T31" i="4"/>
  <c r="T30" i="4"/>
  <c r="T29" i="4"/>
  <c r="U31" i="4" l="1"/>
  <c r="U29" i="4"/>
  <c r="U39" i="4"/>
  <c r="U36" i="4"/>
  <c r="V36" i="4" s="1"/>
  <c r="U34" i="4"/>
  <c r="V34" i="4" s="1"/>
  <c r="U42" i="4"/>
  <c r="V42" i="4" s="1"/>
  <c r="U35" i="4"/>
  <c r="V35" i="4" s="1"/>
  <c r="U43" i="4"/>
  <c r="V43" i="4" s="1"/>
  <c r="V31" i="4"/>
  <c r="V39" i="4"/>
  <c r="U32" i="4"/>
  <c r="V32" i="4" s="1"/>
  <c r="U40" i="4"/>
  <c r="V40" i="4" s="1"/>
  <c r="U38" i="4"/>
  <c r="V38" i="4" s="1"/>
  <c r="U37" i="4"/>
  <c r="V37" i="4" s="1"/>
  <c r="U33" i="4"/>
  <c r="V33" i="4" s="1"/>
  <c r="U41" i="4"/>
  <c r="V41" i="4" s="1"/>
  <c r="U30" i="4"/>
  <c r="V30" i="4" s="1"/>
  <c r="V29" i="4" l="1"/>
  <c r="C11" i="15" l="1"/>
  <c r="C12" i="15"/>
  <c r="C13" i="15"/>
  <c r="C14" i="15"/>
  <c r="C10" i="15"/>
  <c r="C45" i="6"/>
  <c r="E21" i="15"/>
  <c r="D4" i="10"/>
  <c r="E4" i="10" s="1"/>
  <c r="C4" i="10"/>
  <c r="T13" i="4"/>
  <c r="S27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13" i="4"/>
  <c r="R14" i="4"/>
  <c r="R15" i="4"/>
  <c r="R16" i="4"/>
  <c r="R17" i="4"/>
  <c r="R18" i="4"/>
  <c r="R19" i="4"/>
  <c r="R20" i="4"/>
  <c r="R21" i="4"/>
  <c r="R22" i="4"/>
  <c r="R23" i="4"/>
  <c r="R24" i="4"/>
  <c r="R25" i="4"/>
  <c r="R26" i="4"/>
  <c r="R27" i="4"/>
  <c r="R13" i="4"/>
  <c r="Q14" i="4"/>
  <c r="Q15" i="4"/>
  <c r="Q16" i="4"/>
  <c r="Q17" i="4"/>
  <c r="Q18" i="4"/>
  <c r="Q19" i="4"/>
  <c r="Q20" i="4"/>
  <c r="Q21" i="4"/>
  <c r="Q22" i="4"/>
  <c r="Q23" i="4"/>
  <c r="Q24" i="4"/>
  <c r="Q25" i="4"/>
  <c r="Q26" i="4"/>
  <c r="Q27" i="4"/>
  <c r="Q13" i="4"/>
  <c r="P15" i="4"/>
  <c r="P16" i="4"/>
  <c r="P17" i="4"/>
  <c r="P18" i="4"/>
  <c r="P19" i="4"/>
  <c r="P20" i="4"/>
  <c r="P21" i="4"/>
  <c r="P22" i="4"/>
  <c r="P23" i="4"/>
  <c r="P24" i="4"/>
  <c r="P25" i="4"/>
  <c r="P26" i="4"/>
  <c r="P27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13" i="4"/>
  <c r="P13" i="4"/>
  <c r="B27" i="4"/>
  <c r="B26" i="4"/>
  <c r="B25" i="4"/>
  <c r="B24" i="4"/>
  <c r="B23" i="4"/>
  <c r="B22" i="4"/>
  <c r="B21" i="4"/>
  <c r="B20" i="4"/>
  <c r="B19" i="4"/>
  <c r="B18" i="4"/>
  <c r="B17" i="4"/>
  <c r="B16" i="4"/>
  <c r="B15" i="4"/>
  <c r="B14" i="4"/>
  <c r="B13" i="4"/>
  <c r="U13" i="4" l="1"/>
  <c r="E3" i="10"/>
  <c r="T14" i="4" l="1"/>
  <c r="U14" i="4" s="1"/>
  <c r="T15" i="4"/>
  <c r="U15" i="4" s="1"/>
  <c r="T16" i="4"/>
  <c r="U16" i="4" s="1"/>
  <c r="T17" i="4"/>
  <c r="U17" i="4" s="1"/>
  <c r="T18" i="4"/>
  <c r="U18" i="4" s="1"/>
  <c r="T19" i="4"/>
  <c r="U19" i="4" s="1"/>
  <c r="T20" i="4"/>
  <c r="U20" i="4" s="1"/>
  <c r="T21" i="4"/>
  <c r="U21" i="4" s="1"/>
  <c r="T22" i="4"/>
  <c r="U22" i="4" s="1"/>
  <c r="T23" i="4"/>
  <c r="U23" i="4" s="1"/>
  <c r="T24" i="4"/>
  <c r="U24" i="4" s="1"/>
  <c r="T25" i="4"/>
  <c r="U25" i="4" s="1"/>
  <c r="T26" i="4"/>
  <c r="U26" i="4" s="1"/>
  <c r="T27" i="4"/>
  <c r="U27" i="4" s="1"/>
  <c r="U44" i="4" l="1"/>
  <c r="V13" i="4"/>
  <c r="C20" i="11" l="1"/>
  <c r="C28" i="11"/>
  <c r="C27" i="11"/>
  <c r="C25" i="11"/>
  <c r="C23" i="11"/>
  <c r="C18" i="11"/>
  <c r="C19" i="11"/>
  <c r="C22" i="11"/>
  <c r="C26" i="11"/>
  <c r="C29" i="11"/>
  <c r="C17" i="11"/>
  <c r="C21" i="11"/>
  <c r="C31" i="11"/>
  <c r="C16" i="11"/>
  <c r="C15" i="11"/>
  <c r="C24" i="11"/>
  <c r="C14" i="11"/>
  <c r="C30" i="11"/>
  <c r="IR13" i="11"/>
  <c r="IR14" i="11"/>
  <c r="IR15" i="11"/>
  <c r="IR16" i="11"/>
  <c r="IR17" i="11"/>
  <c r="IR18" i="11"/>
  <c r="IR19" i="11"/>
  <c r="IR20" i="11"/>
  <c r="IR21" i="11"/>
  <c r="IR22" i="11"/>
  <c r="IR23" i="11"/>
  <c r="IR24" i="11"/>
  <c r="IR25" i="11"/>
  <c r="IR26" i="11"/>
  <c r="IR27" i="11"/>
  <c r="IR28" i="11"/>
  <c r="IR29" i="11"/>
  <c r="IR30" i="11"/>
  <c r="IR31" i="11"/>
  <c r="IA13" i="11"/>
  <c r="IA14" i="11"/>
  <c r="IA15" i="11"/>
  <c r="IA16" i="11"/>
  <c r="IA17" i="11"/>
  <c r="IA18" i="11"/>
  <c r="IA19" i="11"/>
  <c r="IA20" i="11"/>
  <c r="IA21" i="11"/>
  <c r="IA22" i="11"/>
  <c r="IA23" i="11"/>
  <c r="IA24" i="11"/>
  <c r="IA25" i="11"/>
  <c r="IA26" i="11"/>
  <c r="IA27" i="11"/>
  <c r="IA28" i="11"/>
  <c r="IA29" i="11"/>
  <c r="IA30" i="11"/>
  <c r="IA31" i="11"/>
  <c r="HJ14" i="11"/>
  <c r="HJ15" i="11"/>
  <c r="HJ16" i="11"/>
  <c r="HJ17" i="11"/>
  <c r="HJ18" i="11"/>
  <c r="HJ19" i="11"/>
  <c r="HJ20" i="11"/>
  <c r="HJ21" i="11"/>
  <c r="HJ22" i="11"/>
  <c r="HJ23" i="11"/>
  <c r="HJ24" i="11"/>
  <c r="HJ25" i="11"/>
  <c r="HJ26" i="11"/>
  <c r="HJ27" i="11"/>
  <c r="HJ28" i="11"/>
  <c r="HJ29" i="11"/>
  <c r="HJ30" i="11"/>
  <c r="HJ31" i="11"/>
  <c r="EC13" i="11"/>
  <c r="EC14" i="11"/>
  <c r="EC15" i="11"/>
  <c r="EC16" i="11"/>
  <c r="EC17" i="11"/>
  <c r="EC18" i="11"/>
  <c r="EC19" i="11"/>
  <c r="EC20" i="11"/>
  <c r="EC21" i="11"/>
  <c r="EC22" i="11"/>
  <c r="EC23" i="11"/>
  <c r="EC24" i="11"/>
  <c r="EC25" i="11"/>
  <c r="EC26" i="11"/>
  <c r="EC27" i="11"/>
  <c r="EC28" i="11"/>
  <c r="EC29" i="11"/>
  <c r="EC30" i="11"/>
  <c r="EC31" i="11"/>
  <c r="BM13" i="11"/>
  <c r="BM14" i="11"/>
  <c r="BM15" i="11"/>
  <c r="BM16" i="11"/>
  <c r="BM17" i="11"/>
  <c r="BM18" i="11"/>
  <c r="BM19" i="11"/>
  <c r="BM20" i="11"/>
  <c r="BM21" i="11"/>
  <c r="BM22" i="11"/>
  <c r="BM23" i="11"/>
  <c r="BM24" i="11"/>
  <c r="BM25" i="11"/>
  <c r="BM26" i="11"/>
  <c r="BM27" i="11"/>
  <c r="BM28" i="11"/>
  <c r="BM29" i="11"/>
  <c r="BM30" i="11"/>
  <c r="BM31" i="11"/>
  <c r="Q13" i="11"/>
  <c r="HJ32" i="11" l="1"/>
  <c r="EC32" i="11"/>
  <c r="BM32" i="11"/>
  <c r="IA32" i="11"/>
  <c r="IR32" i="11"/>
  <c r="C32" i="11"/>
  <c r="BP23" i="11"/>
  <c r="BQ23" i="11" s="1"/>
  <c r="ID16" i="11"/>
  <c r="IE16" i="11" s="1"/>
  <c r="BP26" i="11"/>
  <c r="BQ26" i="11" s="1"/>
  <c r="GE14" i="11"/>
  <c r="GF14" i="11" s="1"/>
  <c r="GV23" i="11"/>
  <c r="GW23" i="11" s="1"/>
  <c r="HM21" i="11"/>
  <c r="HN21" i="11" s="1"/>
  <c r="EW21" i="11"/>
  <c r="EX21" i="11" s="1"/>
  <c r="EW22" i="11"/>
  <c r="EX22" i="11" s="1"/>
  <c r="CG24" i="11"/>
  <c r="CH24" i="11" s="1"/>
  <c r="CG23" i="11"/>
  <c r="CH23" i="11" s="1"/>
  <c r="IU14" i="11"/>
  <c r="IV14" i="11" s="1"/>
  <c r="BP29" i="11"/>
  <c r="BQ29" i="11" s="1"/>
  <c r="AY13" i="11"/>
  <c r="AZ13" i="11" s="1"/>
  <c r="BP27" i="11"/>
  <c r="BQ27" i="11" s="1"/>
  <c r="AY27" i="11"/>
  <c r="AZ27" i="11" s="1"/>
  <c r="AY25" i="11"/>
  <c r="AZ25" i="11" s="1"/>
  <c r="IU22" i="11"/>
  <c r="IV22" i="11" s="1"/>
  <c r="AY24" i="11"/>
  <c r="AZ24" i="11" s="1"/>
  <c r="ID13" i="11"/>
  <c r="AY21" i="11"/>
  <c r="AZ21" i="11" s="1"/>
  <c r="ID17" i="11"/>
  <c r="IE17" i="11" s="1"/>
  <c r="FN17" i="11"/>
  <c r="FO17" i="11" s="1"/>
  <c r="IU26" i="11"/>
  <c r="IV26" i="11" s="1"/>
  <c r="FN16" i="11"/>
  <c r="FO16" i="11" s="1"/>
  <c r="IU25" i="11"/>
  <c r="IV25" i="11" s="1"/>
  <c r="AH25" i="11"/>
  <c r="AI25" i="11" s="1"/>
  <c r="GE29" i="11"/>
  <c r="GF29" i="11" s="1"/>
  <c r="AY17" i="11"/>
  <c r="AZ17" i="11" s="1"/>
  <c r="AH26" i="11"/>
  <c r="AI26" i="11" s="1"/>
  <c r="AY16" i="11"/>
  <c r="AZ16" i="11" s="1"/>
  <c r="AH24" i="11"/>
  <c r="AI24" i="11" s="1"/>
  <c r="GE28" i="11"/>
  <c r="GF28" i="11" s="1"/>
  <c r="HM19" i="11"/>
  <c r="HN19" i="11" s="1"/>
  <c r="IU29" i="11"/>
  <c r="IV29" i="11" s="1"/>
  <c r="FN13" i="11"/>
  <c r="HM20" i="11"/>
  <c r="HN20" i="11" s="1"/>
  <c r="AH23" i="11"/>
  <c r="AI23" i="11" s="1"/>
  <c r="AH27" i="11"/>
  <c r="AI27" i="11" s="1"/>
  <c r="AH20" i="11"/>
  <c r="AI20" i="11" s="1"/>
  <c r="CG25" i="11"/>
  <c r="CH25" i="11" s="1"/>
  <c r="IU28" i="11"/>
  <c r="IV28" i="11" s="1"/>
  <c r="DO17" i="11"/>
  <c r="DP17" i="11" s="1"/>
  <c r="CX21" i="11"/>
  <c r="CY21" i="11" s="1"/>
  <c r="BP14" i="11"/>
  <c r="BQ14" i="11" s="1"/>
  <c r="BP28" i="11"/>
  <c r="BQ28" i="11" s="1"/>
  <c r="EF27" i="11"/>
  <c r="EG27" i="11" s="1"/>
  <c r="DO16" i="11"/>
  <c r="DP16" i="11" s="1"/>
  <c r="CX20" i="11"/>
  <c r="CY20" i="11" s="1"/>
  <c r="DO31" i="11"/>
  <c r="DO15" i="11"/>
  <c r="DP15" i="11" s="1"/>
  <c r="CX19" i="11"/>
  <c r="CY19" i="11" s="1"/>
  <c r="FN18" i="11"/>
  <c r="FO18" i="11" s="1"/>
  <c r="ID31" i="11"/>
  <c r="IE31" i="11" s="1"/>
  <c r="ID15" i="11"/>
  <c r="IE15" i="11" s="1"/>
  <c r="HM18" i="11"/>
  <c r="HN18" i="11" s="1"/>
  <c r="GV22" i="11"/>
  <c r="GW22" i="11" s="1"/>
  <c r="GE27" i="11"/>
  <c r="GF27" i="11" s="1"/>
  <c r="FN31" i="11"/>
  <c r="FO31" i="11" s="1"/>
  <c r="FN15" i="11"/>
  <c r="FO15" i="11" s="1"/>
  <c r="EW20" i="11"/>
  <c r="EX20" i="11" s="1"/>
  <c r="EF25" i="11"/>
  <c r="EG25" i="11" s="1"/>
  <c r="DO30" i="11"/>
  <c r="DP30" i="11" s="1"/>
  <c r="DO14" i="11"/>
  <c r="DP14" i="11" s="1"/>
  <c r="CX18" i="11"/>
  <c r="CY18" i="11" s="1"/>
  <c r="CG22" i="11"/>
  <c r="CH22" i="11" s="1"/>
  <c r="AH22" i="11"/>
  <c r="AI22" i="11" s="1"/>
  <c r="AY23" i="11"/>
  <c r="AZ23" i="11" s="1"/>
  <c r="BP25" i="11"/>
  <c r="BQ25" i="11" s="1"/>
  <c r="ID30" i="11"/>
  <c r="IE30" i="11" s="1"/>
  <c r="HM17" i="11"/>
  <c r="HN17" i="11" s="1"/>
  <c r="GV21" i="11"/>
  <c r="GW21" i="11" s="1"/>
  <c r="GE26" i="11"/>
  <c r="GF26" i="11" s="1"/>
  <c r="FN30" i="11"/>
  <c r="FO30" i="11" s="1"/>
  <c r="FN14" i="11"/>
  <c r="FO14" i="11" s="1"/>
  <c r="EW19" i="11"/>
  <c r="EX19" i="11" s="1"/>
  <c r="EF24" i="11"/>
  <c r="EG24" i="11" s="1"/>
  <c r="DO29" i="11"/>
  <c r="DP29" i="11" s="1"/>
  <c r="CX13" i="11"/>
  <c r="CX17" i="11"/>
  <c r="CY17" i="11" s="1"/>
  <c r="CG21" i="11"/>
  <c r="CH21" i="11" s="1"/>
  <c r="AH21" i="11"/>
  <c r="AI21" i="11" s="1"/>
  <c r="AY22" i="11"/>
  <c r="AZ22" i="11" s="1"/>
  <c r="BP24" i="11"/>
  <c r="BQ24" i="11" s="1"/>
  <c r="ID29" i="11"/>
  <c r="IE29" i="11" s="1"/>
  <c r="HM16" i="11"/>
  <c r="HN16" i="11" s="1"/>
  <c r="GV20" i="11"/>
  <c r="GW20" i="11" s="1"/>
  <c r="GE25" i="11"/>
  <c r="GF25" i="11" s="1"/>
  <c r="FN29" i="11"/>
  <c r="FO29" i="11" s="1"/>
  <c r="EW18" i="11"/>
  <c r="EX18" i="11" s="1"/>
  <c r="EF23" i="11"/>
  <c r="EG23" i="11" s="1"/>
  <c r="DO28" i="11"/>
  <c r="DP28" i="11" s="1"/>
  <c r="CX16" i="11"/>
  <c r="CY16" i="11" s="1"/>
  <c r="CG20" i="11"/>
  <c r="CH20" i="11" s="1"/>
  <c r="IU24" i="11"/>
  <c r="IV24" i="11" s="1"/>
  <c r="ID28" i="11"/>
  <c r="IE28" i="11" s="1"/>
  <c r="HM31" i="11"/>
  <c r="HN31" i="11" s="1"/>
  <c r="HM15" i="11"/>
  <c r="HN15" i="11" s="1"/>
  <c r="GV19" i="11"/>
  <c r="GW19" i="11" s="1"/>
  <c r="GE24" i="11"/>
  <c r="GF24" i="11" s="1"/>
  <c r="EW17" i="11"/>
  <c r="EX17" i="11" s="1"/>
  <c r="EF22" i="11"/>
  <c r="EG22" i="11" s="1"/>
  <c r="DO27" i="11"/>
  <c r="DP27" i="11" s="1"/>
  <c r="CX31" i="11"/>
  <c r="CY31" i="11" s="1"/>
  <c r="CX15" i="11"/>
  <c r="CY15" i="11" s="1"/>
  <c r="CG19" i="11"/>
  <c r="CH19" i="11" s="1"/>
  <c r="IU23" i="11"/>
  <c r="IV23" i="11" s="1"/>
  <c r="ID27" i="11"/>
  <c r="IE27" i="11" s="1"/>
  <c r="HM30" i="11"/>
  <c r="HN30" i="11" s="1"/>
  <c r="GV18" i="11"/>
  <c r="GW18" i="11" s="1"/>
  <c r="GE23" i="11"/>
  <c r="GF23" i="11" s="1"/>
  <c r="FN27" i="11"/>
  <c r="FO27" i="11" s="1"/>
  <c r="EW16" i="11"/>
  <c r="EX16" i="11" s="1"/>
  <c r="EF21" i="11"/>
  <c r="EG21" i="11" s="1"/>
  <c r="DO26" i="11"/>
  <c r="DP26" i="11" s="1"/>
  <c r="CX30" i="11"/>
  <c r="CY30" i="11" s="1"/>
  <c r="CG18" i="11"/>
  <c r="CH18" i="11" s="1"/>
  <c r="AH12" i="11"/>
  <c r="AH18" i="11"/>
  <c r="AI18" i="11" s="1"/>
  <c r="AY19" i="11"/>
  <c r="AZ19" i="11" s="1"/>
  <c r="BP21" i="11"/>
  <c r="BQ21" i="11" s="1"/>
  <c r="EF28" i="11"/>
  <c r="EG28" i="11" s="1"/>
  <c r="ID26" i="11"/>
  <c r="IE26" i="11" s="1"/>
  <c r="HM29" i="11"/>
  <c r="HN29" i="11" s="1"/>
  <c r="GV17" i="11"/>
  <c r="GW17" i="11" s="1"/>
  <c r="GE22" i="11"/>
  <c r="GF22" i="11" s="1"/>
  <c r="FN26" i="11"/>
  <c r="FO26" i="11" s="1"/>
  <c r="EW31" i="11"/>
  <c r="EX31" i="11" s="1"/>
  <c r="EW15" i="11"/>
  <c r="EX15" i="11" s="1"/>
  <c r="EF20" i="11"/>
  <c r="EG20" i="11" s="1"/>
  <c r="DO25" i="11"/>
  <c r="DP25" i="11" s="1"/>
  <c r="CX29" i="11"/>
  <c r="CY29" i="11" s="1"/>
  <c r="CG13" i="11"/>
  <c r="CG17" i="11"/>
  <c r="CH17" i="11" s="1"/>
  <c r="AH17" i="11"/>
  <c r="AI17" i="11" s="1"/>
  <c r="AY18" i="11"/>
  <c r="AZ18" i="11" s="1"/>
  <c r="BP20" i="11"/>
  <c r="BQ20" i="11" s="1"/>
  <c r="ID18" i="11"/>
  <c r="IE18" i="11" s="1"/>
  <c r="IU21" i="11"/>
  <c r="IV21" i="11" s="1"/>
  <c r="ID25" i="11"/>
  <c r="IE25" i="11" s="1"/>
  <c r="HM28" i="11"/>
  <c r="HN28" i="11" s="1"/>
  <c r="GV16" i="11"/>
  <c r="GW16" i="11" s="1"/>
  <c r="GE21" i="11"/>
  <c r="GF21" i="11" s="1"/>
  <c r="FN25" i="11"/>
  <c r="FO25" i="11" s="1"/>
  <c r="EW30" i="11"/>
  <c r="EX30" i="11" s="1"/>
  <c r="EW14" i="11"/>
  <c r="EX14" i="11" s="1"/>
  <c r="EF19" i="11"/>
  <c r="EG19" i="11" s="1"/>
  <c r="DO24" i="11"/>
  <c r="DP24" i="11" s="1"/>
  <c r="CX28" i="11"/>
  <c r="CY28" i="11" s="1"/>
  <c r="BP19" i="11"/>
  <c r="BQ19" i="11" s="1"/>
  <c r="IU20" i="11"/>
  <c r="IV20" i="11" s="1"/>
  <c r="ID24" i="11"/>
  <c r="IE24" i="11" s="1"/>
  <c r="HM27" i="11"/>
  <c r="HN27" i="11" s="1"/>
  <c r="GV31" i="11"/>
  <c r="GW31" i="11" s="1"/>
  <c r="GV15" i="11"/>
  <c r="GW15" i="11" s="1"/>
  <c r="GE20" i="11"/>
  <c r="GF20" i="11" s="1"/>
  <c r="FN24" i="11"/>
  <c r="FO24" i="11" s="1"/>
  <c r="EW29" i="11"/>
  <c r="EX29" i="11" s="1"/>
  <c r="EF18" i="11"/>
  <c r="EG18" i="11" s="1"/>
  <c r="DO23" i="11"/>
  <c r="DP23" i="11" s="1"/>
  <c r="CX27" i="11"/>
  <c r="CY27" i="11" s="1"/>
  <c r="CG31" i="11"/>
  <c r="CH31" i="11" s="1"/>
  <c r="CG15" i="11"/>
  <c r="CH15" i="11" s="1"/>
  <c r="AH19" i="11"/>
  <c r="AI19" i="11" s="1"/>
  <c r="AY20" i="11"/>
  <c r="AZ20" i="11" s="1"/>
  <c r="BP22" i="11"/>
  <c r="BQ22" i="11" s="1"/>
  <c r="AH16" i="11"/>
  <c r="AI16" i="11" s="1"/>
  <c r="GV25" i="11"/>
  <c r="GW25" i="11" s="1"/>
  <c r="IU19" i="11"/>
  <c r="IV19" i="11" s="1"/>
  <c r="ID23" i="11"/>
  <c r="IE23" i="11" s="1"/>
  <c r="HM26" i="11"/>
  <c r="HN26" i="11" s="1"/>
  <c r="GV30" i="11"/>
  <c r="GW30" i="11" s="1"/>
  <c r="GV14" i="11"/>
  <c r="GW14" i="11" s="1"/>
  <c r="GE19" i="11"/>
  <c r="GF19" i="11" s="1"/>
  <c r="FN23" i="11"/>
  <c r="FO23" i="11" s="1"/>
  <c r="EW28" i="11"/>
  <c r="EX28" i="11" s="1"/>
  <c r="EF13" i="11"/>
  <c r="EF17" i="11"/>
  <c r="EG17" i="11" s="1"/>
  <c r="DO22" i="11"/>
  <c r="DP22" i="11" s="1"/>
  <c r="CX26" i="11"/>
  <c r="CY26" i="11" s="1"/>
  <c r="CG30" i="11"/>
  <c r="CH30" i="11" s="1"/>
  <c r="CG14" i="11"/>
  <c r="CH14" i="11" s="1"/>
  <c r="AH31" i="11"/>
  <c r="AI31" i="11" s="1"/>
  <c r="AH15" i="11"/>
  <c r="AI15" i="11" s="1"/>
  <c r="BP18" i="11"/>
  <c r="BQ18" i="11" s="1"/>
  <c r="AH30" i="11"/>
  <c r="AI30" i="11" s="1"/>
  <c r="AH14" i="11"/>
  <c r="AI14" i="11" s="1"/>
  <c r="AY31" i="11"/>
  <c r="AZ31" i="11" s="1"/>
  <c r="AY15" i="11"/>
  <c r="AZ15" i="11" s="1"/>
  <c r="BP13" i="11"/>
  <c r="BP17" i="11"/>
  <c r="BQ17" i="11" s="1"/>
  <c r="GV24" i="11"/>
  <c r="GW24" i="11" s="1"/>
  <c r="IU18" i="11"/>
  <c r="IV18" i="11" s="1"/>
  <c r="ID22" i="11"/>
  <c r="IE22" i="11" s="1"/>
  <c r="HM25" i="11"/>
  <c r="HN25" i="11" s="1"/>
  <c r="GV29" i="11"/>
  <c r="GW29" i="11" s="1"/>
  <c r="GE18" i="11"/>
  <c r="GF18" i="11" s="1"/>
  <c r="FN22" i="11"/>
  <c r="FO22" i="11" s="1"/>
  <c r="EW27" i="11"/>
  <c r="EX27" i="11" s="1"/>
  <c r="EF16" i="11"/>
  <c r="EG16" i="11" s="1"/>
  <c r="DO21" i="11"/>
  <c r="DP21" i="11" s="1"/>
  <c r="CX25" i="11"/>
  <c r="CY25" i="11" s="1"/>
  <c r="CG29" i="11"/>
  <c r="CH29" i="11" s="1"/>
  <c r="AH29" i="11"/>
  <c r="AI29" i="11" s="1"/>
  <c r="AY30" i="11"/>
  <c r="AZ30" i="11" s="1"/>
  <c r="BP16" i="11"/>
  <c r="BQ16" i="11" s="1"/>
  <c r="EW23" i="11"/>
  <c r="EX23" i="11" s="1"/>
  <c r="IU13" i="11"/>
  <c r="IU17" i="11"/>
  <c r="IV17" i="11" s="1"/>
  <c r="ID21" i="11"/>
  <c r="IE21" i="11" s="1"/>
  <c r="HM24" i="11"/>
  <c r="HN24" i="11" s="1"/>
  <c r="GV28" i="11"/>
  <c r="GW28" i="11" s="1"/>
  <c r="GE13" i="11"/>
  <c r="GE17" i="11"/>
  <c r="GF17" i="11" s="1"/>
  <c r="FN21" i="11"/>
  <c r="FO21" i="11" s="1"/>
  <c r="EW26" i="11"/>
  <c r="EX26" i="11" s="1"/>
  <c r="EF31" i="11"/>
  <c r="EG31" i="11" s="1"/>
  <c r="EF15" i="11"/>
  <c r="EG15" i="11" s="1"/>
  <c r="DO20" i="11"/>
  <c r="DP20" i="11" s="1"/>
  <c r="CX24" i="11"/>
  <c r="CY24" i="11" s="1"/>
  <c r="CG28" i="11"/>
  <c r="CH28" i="11" s="1"/>
  <c r="AH28" i="11"/>
  <c r="AI28" i="11" s="1"/>
  <c r="AY29" i="11"/>
  <c r="AZ29" i="11" s="1"/>
  <c r="AY12" i="11"/>
  <c r="BP31" i="11"/>
  <c r="BQ31" i="11" s="1"/>
  <c r="BP15" i="11"/>
  <c r="BQ15" i="11" s="1"/>
  <c r="IU16" i="11"/>
  <c r="IV16" i="11" s="1"/>
  <c r="ID20" i="11"/>
  <c r="IE20" i="11" s="1"/>
  <c r="HM23" i="11"/>
  <c r="HN23" i="11" s="1"/>
  <c r="GV27" i="11"/>
  <c r="GW27" i="11" s="1"/>
  <c r="GE16" i="11"/>
  <c r="GF16" i="11" s="1"/>
  <c r="FN20" i="11"/>
  <c r="FO20" i="11" s="1"/>
  <c r="EW25" i="11"/>
  <c r="EX25" i="11" s="1"/>
  <c r="EF30" i="11"/>
  <c r="EG30" i="11" s="1"/>
  <c r="EF14" i="11"/>
  <c r="EG14" i="11" s="1"/>
  <c r="DO19" i="11"/>
  <c r="DP19" i="11" s="1"/>
  <c r="CX23" i="11"/>
  <c r="CY23" i="11" s="1"/>
  <c r="CG27" i="11"/>
  <c r="CH27" i="11" s="1"/>
  <c r="AY28" i="11"/>
  <c r="AZ28" i="11" s="1"/>
  <c r="BP30" i="11"/>
  <c r="BQ30" i="11" s="1"/>
  <c r="IU31" i="11"/>
  <c r="IV31" i="11" s="1"/>
  <c r="IU15" i="11"/>
  <c r="IV15" i="11" s="1"/>
  <c r="ID19" i="11"/>
  <c r="IE19" i="11" s="1"/>
  <c r="HM22" i="11"/>
  <c r="HN22" i="11" s="1"/>
  <c r="GV26" i="11"/>
  <c r="GW26" i="11" s="1"/>
  <c r="GE31" i="11"/>
  <c r="GF31" i="11" s="1"/>
  <c r="GE15" i="11"/>
  <c r="GF15" i="11" s="1"/>
  <c r="FN19" i="11"/>
  <c r="FO19" i="11" s="1"/>
  <c r="EW24" i="11"/>
  <c r="EX24" i="11" s="1"/>
  <c r="EF29" i="11"/>
  <c r="EG29" i="11" s="1"/>
  <c r="DO18" i="11"/>
  <c r="DP18" i="11" s="1"/>
  <c r="CX22" i="11"/>
  <c r="CY22" i="11" s="1"/>
  <c r="CG26" i="11"/>
  <c r="CH26" i="11" s="1"/>
  <c r="IU30" i="11"/>
  <c r="IV30" i="11" s="1"/>
  <c r="GE30" i="11"/>
  <c r="GF30" i="11" s="1"/>
  <c r="DO13" i="11"/>
  <c r="EF26" i="11"/>
  <c r="EG26" i="11" s="1"/>
  <c r="FN28" i="11"/>
  <c r="FO28" i="11" s="1"/>
  <c r="IU27" i="11"/>
  <c r="IV27" i="11" s="1"/>
  <c r="AY26" i="11"/>
  <c r="AZ26" i="11" s="1"/>
  <c r="AI12" i="11" l="1"/>
  <c r="CH13" i="11"/>
  <c r="FO13" i="11"/>
  <c r="FO32" i="11" s="1"/>
  <c r="D49" i="11" s="1"/>
  <c r="FN32" i="11"/>
  <c r="IE13" i="11"/>
  <c r="IU32" i="11"/>
  <c r="CY13" i="11"/>
  <c r="CY32" i="11" s="1"/>
  <c r="CX32" i="11"/>
  <c r="GF13" i="11"/>
  <c r="GF32" i="11" s="1"/>
  <c r="GE32" i="11"/>
  <c r="EG13" i="11"/>
  <c r="EG32" i="11" s="1"/>
  <c r="D47" i="11" s="1"/>
  <c r="EF32" i="11"/>
  <c r="DP13" i="11"/>
  <c r="D46" i="11" s="1"/>
  <c r="DO32" i="11"/>
  <c r="BP32" i="11"/>
  <c r="N57" i="11"/>
  <c r="IV13" i="11"/>
  <c r="IV32" i="11" s="1"/>
  <c r="D54" i="11" s="1"/>
  <c r="CX14" i="11"/>
  <c r="CY14" i="11" s="1"/>
  <c r="AZ12" i="11"/>
  <c r="AY14" i="11"/>
  <c r="AZ14" i="11" s="1"/>
  <c r="ID14" i="11"/>
  <c r="ID32" i="11" s="1"/>
  <c r="CG16" i="11"/>
  <c r="CH16" i="11" s="1"/>
  <c r="EW13" i="11"/>
  <c r="EW32" i="11" s="1"/>
  <c r="AH13" i="11"/>
  <c r="AI13" i="11" s="1"/>
  <c r="HM14" i="11"/>
  <c r="GV13" i="11"/>
  <c r="GV32" i="11" s="1"/>
  <c r="BQ13" i="11"/>
  <c r="HN14" i="11" l="1"/>
  <c r="HM32" i="11"/>
  <c r="BQ32" i="11"/>
  <c r="D43" i="11" s="1"/>
  <c r="AZ32" i="11"/>
  <c r="D42" i="11" s="1"/>
  <c r="CH32" i="11"/>
  <c r="D44" i="11" s="1"/>
  <c r="AY32" i="11"/>
  <c r="CG32" i="11"/>
  <c r="AH32" i="11"/>
  <c r="D45" i="11"/>
  <c r="AI32" i="11"/>
  <c r="D41" i="11" s="1"/>
  <c r="IE14" i="11"/>
  <c r="GW13" i="11"/>
  <c r="EX13" i="11"/>
  <c r="IE32" i="11" l="1"/>
  <c r="D53" i="11" s="1"/>
  <c r="EX32" i="11"/>
  <c r="D48" i="11" s="1"/>
  <c r="GW32" i="11"/>
  <c r="D51" i="11" s="1"/>
  <c r="HN32" i="11"/>
  <c r="D52" i="11" s="1"/>
  <c r="Z4" i="12"/>
  <c r="Y4" i="12"/>
  <c r="X4" i="12"/>
  <c r="W4" i="12"/>
  <c r="V4" i="12"/>
  <c r="U4" i="12"/>
  <c r="T4" i="12"/>
  <c r="S4" i="12"/>
  <c r="Q4" i="12"/>
  <c r="O4" i="12"/>
  <c r="N4" i="12"/>
  <c r="M4" i="12"/>
  <c r="R5" i="12"/>
  <c r="E55" i="6"/>
  <c r="L6" i="12" l="1"/>
  <c r="L7" i="12" s="1"/>
  <c r="L8" i="12" s="1"/>
  <c r="L9" i="12" s="1"/>
  <c r="M5" i="12"/>
  <c r="M6" i="12" s="1"/>
  <c r="M7" i="12" s="1"/>
  <c r="M8" i="12" s="1"/>
  <c r="M9" i="12" s="1"/>
  <c r="N5" i="12"/>
  <c r="N6" i="12" s="1"/>
  <c r="N7" i="12" s="1"/>
  <c r="N8" i="12" s="1"/>
  <c r="N9" i="12" s="1"/>
  <c r="O5" i="12"/>
  <c r="O6" i="12" s="1"/>
  <c r="O7" i="12" s="1"/>
  <c r="O8" i="12" s="1"/>
  <c r="O9" i="12" s="1"/>
  <c r="P5" i="12"/>
  <c r="P6" i="12" s="1"/>
  <c r="P7" i="12" s="1"/>
  <c r="P8" i="12" s="1"/>
  <c r="P9" i="12" s="1"/>
  <c r="Q5" i="12"/>
  <c r="Q6" i="12" s="1"/>
  <c r="Q7" i="12" s="1"/>
  <c r="Q8" i="12" s="1"/>
  <c r="Q9" i="12" s="1"/>
  <c r="R6" i="12"/>
  <c r="R7" i="12" s="1"/>
  <c r="R8" i="12" s="1"/>
  <c r="R9" i="12" s="1"/>
  <c r="S5" i="12"/>
  <c r="S6" i="12" s="1"/>
  <c r="S7" i="12" s="1"/>
  <c r="S8" i="12" s="1"/>
  <c r="S9" i="12" s="1"/>
  <c r="T5" i="12"/>
  <c r="T6" i="12" s="1"/>
  <c r="T7" i="12" s="1"/>
  <c r="T8" i="12" s="1"/>
  <c r="T9" i="12" s="1"/>
  <c r="U5" i="12"/>
  <c r="U6" i="12" s="1"/>
  <c r="U7" i="12" s="1"/>
  <c r="U8" i="12" s="1"/>
  <c r="U9" i="12" s="1"/>
  <c r="V5" i="12"/>
  <c r="V6" i="12" s="1"/>
  <c r="V7" i="12" s="1"/>
  <c r="V8" i="12" s="1"/>
  <c r="V9" i="12" s="1"/>
  <c r="W5" i="12"/>
  <c r="W6" i="12" s="1"/>
  <c r="W7" i="12" s="1"/>
  <c r="W8" i="12" s="1"/>
  <c r="W9" i="12" s="1"/>
  <c r="X5" i="12"/>
  <c r="X6" i="12" s="1"/>
  <c r="X7" i="12" s="1"/>
  <c r="X8" i="12" s="1"/>
  <c r="X9" i="12" s="1"/>
  <c r="Y5" i="12"/>
  <c r="Y6" i="12" s="1"/>
  <c r="Y7" i="12" s="1"/>
  <c r="Y8" i="12" s="1"/>
  <c r="Y9" i="12" s="1"/>
  <c r="Z5" i="12"/>
  <c r="Z6" i="12" s="1"/>
  <c r="Z7" i="12" s="1"/>
  <c r="Z8" i="12" s="1"/>
  <c r="Z9" i="12" s="1"/>
  <c r="E56" i="6"/>
  <c r="C46" i="6"/>
  <c r="C47" i="6"/>
  <c r="C48" i="6"/>
  <c r="C49" i="6"/>
  <c r="G45" i="6"/>
  <c r="G44" i="6"/>
  <c r="U10" i="12" l="1"/>
  <c r="AJ9" i="12"/>
  <c r="X10" i="12"/>
  <c r="AM9" i="12"/>
  <c r="S10" i="12"/>
  <c r="AH9" i="12"/>
  <c r="W10" i="12"/>
  <c r="AL9" i="12"/>
  <c r="P10" i="12"/>
  <c r="P11" i="12" s="1"/>
  <c r="P12" i="12" s="1"/>
  <c r="P13" i="12" s="1"/>
  <c r="P14" i="12" s="1"/>
  <c r="P15" i="12" s="1"/>
  <c r="P16" i="12" s="1"/>
  <c r="P17" i="12" s="1"/>
  <c r="P18" i="12" s="1"/>
  <c r="P19" i="12" s="1"/>
  <c r="P20" i="12" s="1"/>
  <c r="P21" i="12" s="1"/>
  <c r="P22" i="12" s="1"/>
  <c r="P23" i="12" s="1"/>
  <c r="P24" i="12" s="1"/>
  <c r="P25" i="12" s="1"/>
  <c r="P26" i="12" s="1"/>
  <c r="P27" i="12" s="1"/>
  <c r="P28" i="12" s="1"/>
  <c r="AE9" i="12"/>
  <c r="Z10" i="12"/>
  <c r="Z11" i="12" s="1"/>
  <c r="Z12" i="12" s="1"/>
  <c r="Z13" i="12" s="1"/>
  <c r="Z14" i="12" s="1"/>
  <c r="Z15" i="12" s="1"/>
  <c r="Z16" i="12" s="1"/>
  <c r="Z17" i="12" s="1"/>
  <c r="Z18" i="12" s="1"/>
  <c r="Z19" i="12" s="1"/>
  <c r="Z20" i="12" s="1"/>
  <c r="Z21" i="12" s="1"/>
  <c r="Z22" i="12" s="1"/>
  <c r="Z23" i="12" s="1"/>
  <c r="Z24" i="12" s="1"/>
  <c r="Z25" i="12" s="1"/>
  <c r="Z26" i="12" s="1"/>
  <c r="Z27" i="12" s="1"/>
  <c r="Z28" i="12" s="1"/>
  <c r="AO9" i="12"/>
  <c r="V10" i="12"/>
  <c r="V11" i="12" s="1"/>
  <c r="V12" i="12" s="1"/>
  <c r="V13" i="12" s="1"/>
  <c r="V14" i="12" s="1"/>
  <c r="V15" i="12" s="1"/>
  <c r="V16" i="12" s="1"/>
  <c r="V17" i="12" s="1"/>
  <c r="V18" i="12" s="1"/>
  <c r="V19" i="12" s="1"/>
  <c r="V20" i="12" s="1"/>
  <c r="V21" i="12" s="1"/>
  <c r="V22" i="12" s="1"/>
  <c r="V23" i="12" s="1"/>
  <c r="V24" i="12" s="1"/>
  <c r="V25" i="12" s="1"/>
  <c r="V26" i="12" s="1"/>
  <c r="V27" i="12" s="1"/>
  <c r="V28" i="12" s="1"/>
  <c r="AK9" i="12"/>
  <c r="Q10" i="12"/>
  <c r="AF9" i="12"/>
  <c r="M10" i="12"/>
  <c r="AB9" i="12"/>
  <c r="Y10" i="12"/>
  <c r="AN9" i="12"/>
  <c r="T10" i="12"/>
  <c r="AI9" i="12"/>
  <c r="R10" i="12"/>
  <c r="AG10" i="12" s="1"/>
  <c r="AG9" i="12"/>
  <c r="O10" i="12"/>
  <c r="O11" i="12" s="1"/>
  <c r="O12" i="12" s="1"/>
  <c r="O13" i="12" s="1"/>
  <c r="O14" i="12" s="1"/>
  <c r="O15" i="12" s="1"/>
  <c r="O16" i="12" s="1"/>
  <c r="O17" i="12" s="1"/>
  <c r="O18" i="12" s="1"/>
  <c r="O19" i="12" s="1"/>
  <c r="O20" i="12" s="1"/>
  <c r="O21" i="12" s="1"/>
  <c r="O22" i="12" s="1"/>
  <c r="O23" i="12" s="1"/>
  <c r="O24" i="12" s="1"/>
  <c r="O25" i="12" s="1"/>
  <c r="O26" i="12" s="1"/>
  <c r="O27" i="12" s="1"/>
  <c r="O28" i="12" s="1"/>
  <c r="AD9" i="12"/>
  <c r="N10" i="12"/>
  <c r="N11" i="12" s="1"/>
  <c r="N12" i="12" s="1"/>
  <c r="N13" i="12" s="1"/>
  <c r="N14" i="12" s="1"/>
  <c r="N15" i="12" s="1"/>
  <c r="N16" i="12" s="1"/>
  <c r="N17" i="12" s="1"/>
  <c r="N18" i="12" s="1"/>
  <c r="N19" i="12" s="1"/>
  <c r="N20" i="12" s="1"/>
  <c r="N21" i="12" s="1"/>
  <c r="N22" i="12" s="1"/>
  <c r="N23" i="12" s="1"/>
  <c r="N24" i="12" s="1"/>
  <c r="N25" i="12" s="1"/>
  <c r="N26" i="12" s="1"/>
  <c r="N27" i="12" s="1"/>
  <c r="N28" i="12" s="1"/>
  <c r="AC9" i="12"/>
  <c r="L10" i="12"/>
  <c r="AA10" i="12" s="1"/>
  <c r="C12" i="6" s="1"/>
  <c r="D12" i="6" s="1"/>
  <c r="AA9" i="12"/>
  <c r="AW10" i="12"/>
  <c r="AG11" i="12"/>
  <c r="V14" i="4"/>
  <c r="U11" i="12"/>
  <c r="U12" i="12" s="1"/>
  <c r="U13" i="12" s="1"/>
  <c r="U14" i="12" s="1"/>
  <c r="U15" i="12" s="1"/>
  <c r="U16" i="12" s="1"/>
  <c r="U17" i="12" s="1"/>
  <c r="U18" i="12" s="1"/>
  <c r="U19" i="12" s="1"/>
  <c r="U20" i="12" s="1"/>
  <c r="U21" i="12" s="1"/>
  <c r="U22" i="12" s="1"/>
  <c r="U23" i="12" s="1"/>
  <c r="U24" i="12" s="1"/>
  <c r="U25" i="12" s="1"/>
  <c r="U26" i="12" s="1"/>
  <c r="U27" i="12" s="1"/>
  <c r="U28" i="12" s="1"/>
  <c r="AJ10" i="12"/>
  <c r="T11" i="12"/>
  <c r="T12" i="12" s="1"/>
  <c r="T13" i="12" s="1"/>
  <c r="T14" i="12" s="1"/>
  <c r="T15" i="12" s="1"/>
  <c r="T16" i="12" s="1"/>
  <c r="T17" i="12" s="1"/>
  <c r="T18" i="12" s="1"/>
  <c r="T19" i="12" s="1"/>
  <c r="T20" i="12" s="1"/>
  <c r="T21" i="12" s="1"/>
  <c r="T22" i="12" s="1"/>
  <c r="T23" i="12" s="1"/>
  <c r="T24" i="12" s="1"/>
  <c r="T25" i="12" s="1"/>
  <c r="T26" i="12" s="1"/>
  <c r="T27" i="12" s="1"/>
  <c r="T28" i="12" s="1"/>
  <c r="AI10" i="12"/>
  <c r="W11" i="12"/>
  <c r="W12" i="12" s="1"/>
  <c r="W13" i="12" s="1"/>
  <c r="W14" i="12" s="1"/>
  <c r="W15" i="12" s="1"/>
  <c r="W16" i="12" s="1"/>
  <c r="W17" i="12" s="1"/>
  <c r="W18" i="12" s="1"/>
  <c r="W19" i="12" s="1"/>
  <c r="W20" i="12" s="1"/>
  <c r="W21" i="12" s="1"/>
  <c r="W22" i="12" s="1"/>
  <c r="W23" i="12" s="1"/>
  <c r="W24" i="12" s="1"/>
  <c r="W25" i="12" s="1"/>
  <c r="W26" i="12" s="1"/>
  <c r="W27" i="12" s="1"/>
  <c r="W28" i="12" s="1"/>
  <c r="AL10" i="12"/>
  <c r="S11" i="12"/>
  <c r="S12" i="12" s="1"/>
  <c r="S13" i="12" s="1"/>
  <c r="S14" i="12" s="1"/>
  <c r="S15" i="12" s="1"/>
  <c r="S16" i="12" s="1"/>
  <c r="S17" i="12" s="1"/>
  <c r="S18" i="12" s="1"/>
  <c r="S19" i="12" s="1"/>
  <c r="S20" i="12" s="1"/>
  <c r="S21" i="12" s="1"/>
  <c r="S22" i="12" s="1"/>
  <c r="S23" i="12" s="1"/>
  <c r="S24" i="12" s="1"/>
  <c r="S25" i="12" s="1"/>
  <c r="S26" i="12" s="1"/>
  <c r="S27" i="12" s="1"/>
  <c r="S28" i="12" s="1"/>
  <c r="AH10" i="12"/>
  <c r="Q11" i="12"/>
  <c r="Q12" i="12" s="1"/>
  <c r="Q13" i="12" s="1"/>
  <c r="Q14" i="12" s="1"/>
  <c r="Q15" i="12" s="1"/>
  <c r="Q16" i="12" s="1"/>
  <c r="Q17" i="12" s="1"/>
  <c r="Q18" i="12" s="1"/>
  <c r="Q19" i="12" s="1"/>
  <c r="Q20" i="12" s="1"/>
  <c r="Q21" i="12" s="1"/>
  <c r="Q22" i="12" s="1"/>
  <c r="Q23" i="12" s="1"/>
  <c r="Q24" i="12" s="1"/>
  <c r="Q25" i="12" s="1"/>
  <c r="Q26" i="12" s="1"/>
  <c r="Q27" i="12" s="1"/>
  <c r="Q28" i="12" s="1"/>
  <c r="AF10" i="12"/>
  <c r="M11" i="12"/>
  <c r="M12" i="12" s="1"/>
  <c r="M13" i="12" s="1"/>
  <c r="M14" i="12" s="1"/>
  <c r="M15" i="12" s="1"/>
  <c r="M16" i="12" s="1"/>
  <c r="M17" i="12" s="1"/>
  <c r="M18" i="12" s="1"/>
  <c r="M19" i="12" s="1"/>
  <c r="M20" i="12" s="1"/>
  <c r="M21" i="12" s="1"/>
  <c r="M22" i="12" s="1"/>
  <c r="M23" i="12" s="1"/>
  <c r="M24" i="12" s="1"/>
  <c r="M25" i="12" s="1"/>
  <c r="M26" i="12" s="1"/>
  <c r="M27" i="12" s="1"/>
  <c r="M28" i="12" s="1"/>
  <c r="AB10" i="12"/>
  <c r="Y11" i="12"/>
  <c r="Y12" i="12" s="1"/>
  <c r="Y13" i="12" s="1"/>
  <c r="Y14" i="12" s="1"/>
  <c r="Y15" i="12" s="1"/>
  <c r="Y16" i="12" s="1"/>
  <c r="Y17" i="12" s="1"/>
  <c r="Y18" i="12" s="1"/>
  <c r="Y19" i="12" s="1"/>
  <c r="Y20" i="12" s="1"/>
  <c r="Y21" i="12" s="1"/>
  <c r="Y22" i="12" s="1"/>
  <c r="Y23" i="12" s="1"/>
  <c r="Y24" i="12" s="1"/>
  <c r="Y25" i="12" s="1"/>
  <c r="Y26" i="12" s="1"/>
  <c r="Y27" i="12" s="1"/>
  <c r="Y28" i="12" s="1"/>
  <c r="AN10" i="12"/>
  <c r="X11" i="12"/>
  <c r="X12" i="12" s="1"/>
  <c r="X13" i="12" s="1"/>
  <c r="X14" i="12" s="1"/>
  <c r="X15" i="12" s="1"/>
  <c r="X16" i="12" s="1"/>
  <c r="X17" i="12" s="1"/>
  <c r="X18" i="12" s="1"/>
  <c r="X19" i="12" s="1"/>
  <c r="X20" i="12" s="1"/>
  <c r="X21" i="12" s="1"/>
  <c r="X22" i="12" s="1"/>
  <c r="X23" i="12" s="1"/>
  <c r="X24" i="12" s="1"/>
  <c r="X25" i="12" s="1"/>
  <c r="X26" i="12" s="1"/>
  <c r="X27" i="12" s="1"/>
  <c r="X28" i="12" s="1"/>
  <c r="AM10" i="12"/>
  <c r="R11" i="12"/>
  <c r="AV9" i="12" l="1"/>
  <c r="BU11" i="6"/>
  <c r="AE11" i="6"/>
  <c r="AS9" i="12"/>
  <c r="FA11" i="6"/>
  <c r="BB9" i="12"/>
  <c r="BA9" i="12"/>
  <c r="EM11" i="6"/>
  <c r="L11" i="12"/>
  <c r="L12" i="12" s="1"/>
  <c r="L13" i="12" s="1"/>
  <c r="L14" i="12" s="1"/>
  <c r="L15" i="12" s="1"/>
  <c r="L16" i="12" s="1"/>
  <c r="L17" i="12" s="1"/>
  <c r="L18" i="12" s="1"/>
  <c r="L19" i="12" s="1"/>
  <c r="L20" i="12" s="1"/>
  <c r="L21" i="12" s="1"/>
  <c r="L22" i="12" s="1"/>
  <c r="L23" i="12" s="1"/>
  <c r="L24" i="12" s="1"/>
  <c r="L25" i="12" s="1"/>
  <c r="L26" i="12" s="1"/>
  <c r="L27" i="12" s="1"/>
  <c r="L28" i="12" s="1"/>
  <c r="GQ11" i="6"/>
  <c r="BE9" i="12"/>
  <c r="AO10" i="12"/>
  <c r="AO11" i="12" s="1"/>
  <c r="AS11" i="6"/>
  <c r="AT9" i="12"/>
  <c r="AC10" i="12"/>
  <c r="AP10" i="12" s="1"/>
  <c r="AD10" i="12"/>
  <c r="AT10" i="12" s="1"/>
  <c r="BG11" i="6"/>
  <c r="AU9" i="12"/>
  <c r="CI11" i="6"/>
  <c r="AW9" i="12"/>
  <c r="AK10" i="12"/>
  <c r="AK11" i="12" s="1"/>
  <c r="E12" i="6"/>
  <c r="BF9" i="12"/>
  <c r="C11" i="6"/>
  <c r="AP9" i="12"/>
  <c r="AQ9" i="12"/>
  <c r="AX9" i="12"/>
  <c r="CW11" i="6"/>
  <c r="BD9" i="12"/>
  <c r="GC11" i="6"/>
  <c r="AE10" i="12"/>
  <c r="AE11" i="12" s="1"/>
  <c r="Q11" i="6"/>
  <c r="AR9" i="12"/>
  <c r="AZ9" i="12"/>
  <c r="DY11" i="6"/>
  <c r="AY9" i="12"/>
  <c r="DK11" i="6"/>
  <c r="FO11" i="6"/>
  <c r="BC9" i="12"/>
  <c r="AQ10" i="12"/>
  <c r="G13" i="11" s="1"/>
  <c r="AB11" i="12"/>
  <c r="AR10" i="12"/>
  <c r="Q12" i="6"/>
  <c r="AS12" i="6"/>
  <c r="CI12" i="6"/>
  <c r="AJ11" i="12"/>
  <c r="AZ10" i="12"/>
  <c r="DY12" i="6"/>
  <c r="AM11" i="12"/>
  <c r="FO12" i="6"/>
  <c r="BC10" i="12"/>
  <c r="HC13" i="11" s="1"/>
  <c r="AH11" i="12"/>
  <c r="CW12" i="6"/>
  <c r="AX10" i="12"/>
  <c r="AN11" i="12"/>
  <c r="BD10" i="12"/>
  <c r="GC12" i="6"/>
  <c r="AL11" i="12"/>
  <c r="FA12" i="6"/>
  <c r="BB10" i="12"/>
  <c r="BA10" i="12"/>
  <c r="AF11" i="12"/>
  <c r="BU12" i="6"/>
  <c r="AV10" i="12"/>
  <c r="AI11" i="12"/>
  <c r="DK12" i="6"/>
  <c r="AY10" i="12"/>
  <c r="T27" i="11"/>
  <c r="T23" i="11"/>
  <c r="T29" i="11"/>
  <c r="T24" i="11"/>
  <c r="T28" i="11"/>
  <c r="T30" i="11"/>
  <c r="T13" i="11"/>
  <c r="T19" i="11"/>
  <c r="T14" i="11"/>
  <c r="T31" i="11"/>
  <c r="T15" i="11"/>
  <c r="T16" i="11"/>
  <c r="T17" i="11"/>
  <c r="T18" i="11"/>
  <c r="T20" i="11"/>
  <c r="T25" i="11"/>
  <c r="T21" i="11"/>
  <c r="T26" i="11"/>
  <c r="T22" i="11"/>
  <c r="Q14" i="11"/>
  <c r="AR43" i="4"/>
  <c r="F12" i="6"/>
  <c r="AA11" i="12"/>
  <c r="R12" i="12"/>
  <c r="Q31" i="11"/>
  <c r="R31" i="11" s="1"/>
  <c r="Q15" i="11"/>
  <c r="R15" i="11" s="1"/>
  <c r="Q18" i="11"/>
  <c r="R18" i="11" s="1"/>
  <c r="Q28" i="11"/>
  <c r="R28" i="11" s="1"/>
  <c r="Q25" i="11"/>
  <c r="R25" i="11" s="1"/>
  <c r="Q22" i="11"/>
  <c r="R22" i="11" s="1"/>
  <c r="Q19" i="11"/>
  <c r="R19" i="11" s="1"/>
  <c r="Q16" i="11"/>
  <c r="R16" i="11" s="1"/>
  <c r="Q29" i="11"/>
  <c r="R29" i="11" s="1"/>
  <c r="Q26" i="11"/>
  <c r="R26" i="11" s="1"/>
  <c r="Q23" i="11"/>
  <c r="R23" i="11" s="1"/>
  <c r="Q20" i="11"/>
  <c r="R20" i="11" s="1"/>
  <c r="Q17" i="11"/>
  <c r="R17" i="11" s="1"/>
  <c r="Q30" i="11"/>
  <c r="R30" i="11" s="1"/>
  <c r="Q27" i="11"/>
  <c r="R27" i="11" s="1"/>
  <c r="Q24" i="11"/>
  <c r="R24" i="11" s="1"/>
  <c r="Q21" i="11"/>
  <c r="R21" i="11" s="1"/>
  <c r="AD11" i="12" l="1"/>
  <c r="S11" i="6"/>
  <c r="R11" i="6"/>
  <c r="T11" i="6" s="1"/>
  <c r="AE12" i="6"/>
  <c r="GR11" i="6"/>
  <c r="GS11" i="6"/>
  <c r="HT12" i="11"/>
  <c r="IK12" i="11"/>
  <c r="BF10" i="12"/>
  <c r="HC12" i="11"/>
  <c r="GQ12" i="6"/>
  <c r="GR12" i="6" s="1"/>
  <c r="GL12" i="11"/>
  <c r="GE11" i="6"/>
  <c r="GD11" i="6"/>
  <c r="GF11" i="6" s="1"/>
  <c r="G12" i="11"/>
  <c r="BG12" i="6"/>
  <c r="BI12" i="6" s="1"/>
  <c r="FB11" i="6"/>
  <c r="FC11" i="6"/>
  <c r="CX11" i="6"/>
  <c r="CY11" i="6"/>
  <c r="AS10" i="12"/>
  <c r="AC11" i="12"/>
  <c r="AC12" i="12" s="1"/>
  <c r="D11" i="6"/>
  <c r="E11" i="6"/>
  <c r="FP11" i="6"/>
  <c r="FQ11" i="6"/>
  <c r="EM12" i="6"/>
  <c r="EO12" i="6" s="1"/>
  <c r="EM12" i="11"/>
  <c r="DE12" i="11"/>
  <c r="AO12" i="11"/>
  <c r="AT11" i="6"/>
  <c r="AU11" i="6"/>
  <c r="AU10" i="12"/>
  <c r="EO11" i="6"/>
  <c r="EN11" i="6"/>
  <c r="EP11" i="6" s="1"/>
  <c r="DL11" i="6"/>
  <c r="DM11" i="6"/>
  <c r="EA11" i="6"/>
  <c r="DZ11" i="6"/>
  <c r="EB11" i="6" s="1"/>
  <c r="CJ11" i="6"/>
  <c r="CK11" i="6"/>
  <c r="AF11" i="6"/>
  <c r="AG11" i="6"/>
  <c r="AH11" i="6" s="1"/>
  <c r="DV12" i="11"/>
  <c r="FU12" i="11"/>
  <c r="BE10" i="12"/>
  <c r="FD12" i="11"/>
  <c r="BW12" i="11"/>
  <c r="BW11" i="6"/>
  <c r="BV11" i="6"/>
  <c r="BX11" i="6" s="1"/>
  <c r="BF12" i="11"/>
  <c r="BG9" i="12"/>
  <c r="BH9" i="12"/>
  <c r="X12" i="11"/>
  <c r="BH11" i="6"/>
  <c r="BI11" i="6"/>
  <c r="CN12" i="11"/>
  <c r="R14" i="11"/>
  <c r="Q32" i="11"/>
  <c r="Q57" i="11" s="1"/>
  <c r="T32" i="11"/>
  <c r="S12" i="6"/>
  <c r="R12" i="6"/>
  <c r="T12" i="6" s="1"/>
  <c r="H13" i="11"/>
  <c r="G12" i="6"/>
  <c r="K12" i="6" s="1"/>
  <c r="AH12" i="12"/>
  <c r="CW13" i="6"/>
  <c r="AX11" i="12"/>
  <c r="DV14" i="11" s="1"/>
  <c r="AE12" i="12"/>
  <c r="AU11" i="12"/>
  <c r="BW14" i="11" s="1"/>
  <c r="BG13" i="6"/>
  <c r="CX12" i="6"/>
  <c r="CY12" i="6"/>
  <c r="FU13" i="11"/>
  <c r="FQ12" i="6"/>
  <c r="FP12" i="6"/>
  <c r="AM12" i="12"/>
  <c r="BC11" i="12"/>
  <c r="HC14" i="11" s="1"/>
  <c r="FO13" i="6"/>
  <c r="AK12" i="12"/>
  <c r="EM13" i="6"/>
  <c r="BA11" i="12"/>
  <c r="FU14" i="11" s="1"/>
  <c r="EA12" i="6"/>
  <c r="DZ12" i="6"/>
  <c r="EB12" i="6" s="1"/>
  <c r="ED12" i="6" s="1"/>
  <c r="GL13" i="11"/>
  <c r="FD13" i="11"/>
  <c r="FB12" i="6"/>
  <c r="FC12" i="6"/>
  <c r="AJ12" i="12"/>
  <c r="AZ11" i="12"/>
  <c r="FD14" i="11" s="1"/>
  <c r="DY13" i="6"/>
  <c r="AL12" i="12"/>
  <c r="FA13" i="6"/>
  <c r="BB11" i="12"/>
  <c r="GL14" i="11" s="1"/>
  <c r="CK12" i="6"/>
  <c r="CJ12" i="6"/>
  <c r="AW11" i="12"/>
  <c r="DE14" i="11" s="1"/>
  <c r="CI13" i="6"/>
  <c r="GD12" i="6"/>
  <c r="GE12" i="6"/>
  <c r="GF12" i="6" s="1"/>
  <c r="DE13" i="11"/>
  <c r="EM13" i="11"/>
  <c r="HT13" i="11"/>
  <c r="AT12" i="6"/>
  <c r="AU12" i="6"/>
  <c r="DM12" i="6"/>
  <c r="DL12" i="6"/>
  <c r="AN12" i="12"/>
  <c r="GC13" i="6"/>
  <c r="BD11" i="12"/>
  <c r="HT14" i="11" s="1"/>
  <c r="BF13" i="11"/>
  <c r="AI12" i="12"/>
  <c r="AY11" i="12"/>
  <c r="EM14" i="11" s="1"/>
  <c r="DK13" i="6"/>
  <c r="AF12" i="6"/>
  <c r="AG12" i="6"/>
  <c r="AD12" i="12"/>
  <c r="AS13" i="6"/>
  <c r="AT11" i="12"/>
  <c r="BF14" i="11" s="1"/>
  <c r="BW13" i="11"/>
  <c r="CN13" i="11"/>
  <c r="AO13" i="11"/>
  <c r="BV12" i="6"/>
  <c r="BW12" i="6"/>
  <c r="X13" i="11"/>
  <c r="AF12" i="12"/>
  <c r="BU13" i="6"/>
  <c r="AV11" i="12"/>
  <c r="CN14" i="11" s="1"/>
  <c r="DV13" i="11"/>
  <c r="AB12" i="12"/>
  <c r="AR11" i="12"/>
  <c r="X14" i="11" s="1"/>
  <c r="Q13" i="6"/>
  <c r="C13" i="6"/>
  <c r="D13" i="6" s="1"/>
  <c r="AQ11" i="12"/>
  <c r="IK13" i="11"/>
  <c r="AO12" i="12"/>
  <c r="BE11" i="12"/>
  <c r="IK14" i="11" s="1"/>
  <c r="GQ13" i="6"/>
  <c r="J12" i="6"/>
  <c r="I12" i="6"/>
  <c r="H12" i="6"/>
  <c r="L12" i="6" s="1"/>
  <c r="AG12" i="12"/>
  <c r="AA12" i="12"/>
  <c r="R13" i="12"/>
  <c r="FR11" i="6" l="1"/>
  <c r="CL11" i="6"/>
  <c r="GS12" i="6"/>
  <c r="EN12" i="6"/>
  <c r="FE12" i="11"/>
  <c r="ED11" i="6"/>
  <c r="EE11" i="6"/>
  <c r="EC11" i="6"/>
  <c r="EF11" i="6"/>
  <c r="F11" i="6"/>
  <c r="BH10" i="12"/>
  <c r="BG10" i="12"/>
  <c r="BI10" i="12" s="1"/>
  <c r="FS11" i="6"/>
  <c r="FT11" i="6"/>
  <c r="HD12" i="11"/>
  <c r="FU11" i="6"/>
  <c r="FV11" i="6"/>
  <c r="CZ11" i="6"/>
  <c r="AV11" i="6"/>
  <c r="BF11" i="12"/>
  <c r="FD11" i="6"/>
  <c r="BJ11" i="6"/>
  <c r="GT11" i="6"/>
  <c r="DN11" i="6"/>
  <c r="CO12" i="11"/>
  <c r="BZ11" i="6"/>
  <c r="BY11" i="6"/>
  <c r="CB11" i="6"/>
  <c r="CA11" i="6"/>
  <c r="EQ11" i="6"/>
  <c r="FV12" i="11"/>
  <c r="ES11" i="6"/>
  <c r="ET11" i="6"/>
  <c r="ER11" i="6"/>
  <c r="AP11" i="12"/>
  <c r="AE13" i="6"/>
  <c r="BH12" i="6"/>
  <c r="AP12" i="11"/>
  <c r="AI11" i="6"/>
  <c r="AL11" i="6"/>
  <c r="AK11" i="6"/>
  <c r="AJ11" i="6"/>
  <c r="Y12" i="11"/>
  <c r="V11" i="6"/>
  <c r="W11" i="6"/>
  <c r="X11" i="6"/>
  <c r="AS11" i="12"/>
  <c r="AO14" i="11" s="1"/>
  <c r="BI9" i="12"/>
  <c r="HU12" i="11"/>
  <c r="GH11" i="6"/>
  <c r="GI11" i="6"/>
  <c r="GJ11" i="6"/>
  <c r="GG11" i="6"/>
  <c r="CM11" i="6"/>
  <c r="DF12" i="11"/>
  <c r="CP11" i="6"/>
  <c r="CN11" i="6"/>
  <c r="CO11" i="6"/>
  <c r="FD12" i="6"/>
  <c r="GM13" i="11" s="1"/>
  <c r="EF12" i="6"/>
  <c r="EJ12" i="6" s="1"/>
  <c r="CL12" i="6"/>
  <c r="EC12" i="6"/>
  <c r="EG12" i="6" s="1"/>
  <c r="DN12" i="6"/>
  <c r="DP12" i="6" s="1"/>
  <c r="DT12" i="6" s="1"/>
  <c r="EE12" i="6"/>
  <c r="FE13" i="11"/>
  <c r="E13" i="6"/>
  <c r="F13" i="6" s="1"/>
  <c r="H14" i="11" s="1"/>
  <c r="BJ12" i="6"/>
  <c r="GT12" i="6"/>
  <c r="IL13" i="11" s="1"/>
  <c r="AH12" i="6"/>
  <c r="FR12" i="6"/>
  <c r="HD13" i="11" s="1"/>
  <c r="AC13" i="12"/>
  <c r="AE14" i="6"/>
  <c r="AS12" i="12"/>
  <c r="AO15" i="11" s="1"/>
  <c r="DM13" i="6"/>
  <c r="DL13" i="6"/>
  <c r="DN13" i="6" s="1"/>
  <c r="BX12" i="6"/>
  <c r="AI13" i="12"/>
  <c r="AY12" i="12"/>
  <c r="DK14" i="6"/>
  <c r="GJ12" i="6"/>
  <c r="GN12" i="6" s="1"/>
  <c r="HQ13" i="11" s="1"/>
  <c r="GH12" i="6"/>
  <c r="GL12" i="6" s="1"/>
  <c r="GI12" i="6"/>
  <c r="GM12" i="6" s="1"/>
  <c r="GG12" i="6"/>
  <c r="HU13" i="11"/>
  <c r="CZ12" i="6"/>
  <c r="R13" i="6"/>
  <c r="S13" i="6"/>
  <c r="X12" i="6"/>
  <c r="CK13" i="6"/>
  <c r="CJ13" i="6"/>
  <c r="CL13" i="6" s="1"/>
  <c r="AB13" i="12"/>
  <c r="Q14" i="6"/>
  <c r="AR12" i="12"/>
  <c r="X15" i="11" s="1"/>
  <c r="GD13" i="6"/>
  <c r="GE13" i="6"/>
  <c r="BI13" i="6"/>
  <c r="BH13" i="6"/>
  <c r="BJ13" i="6" s="1"/>
  <c r="AN13" i="12"/>
  <c r="BD12" i="12"/>
  <c r="GC14" i="6"/>
  <c r="EO13" i="6"/>
  <c r="EN13" i="6"/>
  <c r="EP13" i="6" s="1"/>
  <c r="AK13" i="12"/>
  <c r="BA12" i="12"/>
  <c r="EM14" i="6"/>
  <c r="AE13" i="12"/>
  <c r="AU12" i="12"/>
  <c r="BG14" i="6"/>
  <c r="FC13" i="6"/>
  <c r="FB13" i="6"/>
  <c r="FD13" i="6" s="1"/>
  <c r="FQ13" i="6"/>
  <c r="FP13" i="6"/>
  <c r="BV13" i="6"/>
  <c r="BW13" i="6"/>
  <c r="AL13" i="12"/>
  <c r="FA14" i="6"/>
  <c r="BB12" i="12"/>
  <c r="CX13" i="6"/>
  <c r="CY13" i="6"/>
  <c r="AG13" i="6"/>
  <c r="AF13" i="6"/>
  <c r="AW12" i="12"/>
  <c r="CI14" i="6"/>
  <c r="AF13" i="12"/>
  <c r="AV12" i="12"/>
  <c r="BU14" i="6"/>
  <c r="AV12" i="6"/>
  <c r="DZ13" i="6"/>
  <c r="EA13" i="6"/>
  <c r="AM13" i="12"/>
  <c r="BC12" i="12"/>
  <c r="FO14" i="6"/>
  <c r="AH13" i="12"/>
  <c r="AX12" i="12"/>
  <c r="CW14" i="6"/>
  <c r="AU13" i="6"/>
  <c r="AT13" i="6"/>
  <c r="AV13" i="6" s="1"/>
  <c r="AD13" i="12"/>
  <c r="AS14" i="6"/>
  <c r="AT12" i="12"/>
  <c r="AJ13" i="12"/>
  <c r="AZ12" i="12"/>
  <c r="DY14" i="6"/>
  <c r="EP12" i="6"/>
  <c r="C14" i="6"/>
  <c r="D14" i="6" s="1"/>
  <c r="AQ12" i="12"/>
  <c r="G15" i="11" s="1"/>
  <c r="G14" i="11"/>
  <c r="GR13" i="6"/>
  <c r="GS13" i="6"/>
  <c r="AO13" i="12"/>
  <c r="GQ14" i="6"/>
  <c r="BE12" i="12"/>
  <c r="IK15" i="11" s="1"/>
  <c r="EI12" i="6"/>
  <c r="EH12" i="6"/>
  <c r="M12" i="6"/>
  <c r="N12" i="6"/>
  <c r="BH11" i="12"/>
  <c r="BG11" i="12"/>
  <c r="AG13" i="12"/>
  <c r="BF12" i="12"/>
  <c r="AA13" i="12"/>
  <c r="AP12" i="12"/>
  <c r="R14" i="12"/>
  <c r="R13" i="11"/>
  <c r="R57" i="11" s="1"/>
  <c r="EN13" i="11" l="1"/>
  <c r="FG12" i="6"/>
  <c r="FK12" i="6" s="1"/>
  <c r="FH12" i="6"/>
  <c r="FE12" i="6"/>
  <c r="FI12" i="6" s="1"/>
  <c r="DQ12" i="6"/>
  <c r="DU12" i="6" s="1"/>
  <c r="FF12" i="6"/>
  <c r="FJ12" i="6" s="1"/>
  <c r="DO12" i="6"/>
  <c r="DS12" i="6" s="1"/>
  <c r="DR12" i="6"/>
  <c r="DV12" i="6" s="1"/>
  <c r="CR11" i="6"/>
  <c r="FW11" i="6"/>
  <c r="AM11" i="6"/>
  <c r="GN11" i="6"/>
  <c r="EN12" i="11"/>
  <c r="DQ11" i="6"/>
  <c r="DO11" i="6"/>
  <c r="DP11" i="6"/>
  <c r="DR11" i="6"/>
  <c r="GK11" i="6"/>
  <c r="GM11" i="6"/>
  <c r="IL12" i="11"/>
  <c r="GV11" i="6"/>
  <c r="GW11" i="6"/>
  <c r="GX11" i="6"/>
  <c r="GU11" i="6"/>
  <c r="H12" i="11"/>
  <c r="J11" i="6"/>
  <c r="G11" i="6"/>
  <c r="H11" i="6"/>
  <c r="I11" i="6"/>
  <c r="CC11" i="6"/>
  <c r="GL11" i="6"/>
  <c r="EJ11" i="6"/>
  <c r="CT11" i="6"/>
  <c r="EG11" i="6"/>
  <c r="AO11" i="6"/>
  <c r="AH13" i="6"/>
  <c r="AL13" i="6" s="1"/>
  <c r="AP13" i="6" s="1"/>
  <c r="AL14" i="11" s="1"/>
  <c r="EV11" i="6"/>
  <c r="BK11" i="6"/>
  <c r="BL11" i="6"/>
  <c r="BX12" i="11"/>
  <c r="BM11" i="6"/>
  <c r="BN11" i="6"/>
  <c r="EI11" i="6"/>
  <c r="FX11" i="6"/>
  <c r="CQ11" i="6"/>
  <c r="EX11" i="6"/>
  <c r="FG11" i="6"/>
  <c r="GM12" i="11"/>
  <c r="FE11" i="6"/>
  <c r="FH11" i="6"/>
  <c r="FF11" i="6"/>
  <c r="EH11" i="6"/>
  <c r="EW11" i="6"/>
  <c r="AN11" i="6"/>
  <c r="HT15" i="11"/>
  <c r="AB11" i="6"/>
  <c r="AY11" i="6"/>
  <c r="BG12" i="11"/>
  <c r="AX11" i="6"/>
  <c r="AW11" i="6"/>
  <c r="AZ11" i="6"/>
  <c r="AA11" i="6"/>
  <c r="EU11" i="6"/>
  <c r="DC11" i="6"/>
  <c r="DW12" i="11"/>
  <c r="DA11" i="6"/>
  <c r="DB11" i="6"/>
  <c r="DD11" i="6"/>
  <c r="CD11" i="6"/>
  <c r="AP11" i="6"/>
  <c r="BW15" i="11"/>
  <c r="Z11" i="6"/>
  <c r="CE11" i="6"/>
  <c r="FZ11" i="6"/>
  <c r="CS11" i="6"/>
  <c r="CF11" i="6"/>
  <c r="FY11" i="6"/>
  <c r="FR13" i="6"/>
  <c r="FT13" i="6" s="1"/>
  <c r="FX13" i="6" s="1"/>
  <c r="BX13" i="6"/>
  <c r="CA13" i="6" s="1"/>
  <c r="CE13" i="6" s="1"/>
  <c r="CN12" i="6"/>
  <c r="CR12" i="6" s="1"/>
  <c r="DF13" i="11"/>
  <c r="CO12" i="6"/>
  <c r="CS12" i="6" s="1"/>
  <c r="CP12" i="6"/>
  <c r="CT12" i="6" s="1"/>
  <c r="DB13" i="11" s="1"/>
  <c r="CM12" i="6"/>
  <c r="CQ12" i="6" s="1"/>
  <c r="CU12" i="6" s="1"/>
  <c r="E14" i="6"/>
  <c r="F14" i="6" s="1"/>
  <c r="H15" i="11" s="1"/>
  <c r="BX13" i="11"/>
  <c r="BK12" i="6"/>
  <c r="BO12" i="6" s="1"/>
  <c r="BM12" i="6"/>
  <c r="BQ12" i="6" s="1"/>
  <c r="BN12" i="6"/>
  <c r="BR12" i="6" s="1"/>
  <c r="BT13" i="11" s="1"/>
  <c r="BL12" i="6"/>
  <c r="BP12" i="6" s="1"/>
  <c r="GX12" i="6"/>
  <c r="HB12" i="6" s="1"/>
  <c r="IH13" i="11" s="1"/>
  <c r="GU12" i="6"/>
  <c r="GY12" i="6" s="1"/>
  <c r="GV12" i="6"/>
  <c r="GZ12" i="6" s="1"/>
  <c r="GW12" i="6"/>
  <c r="HA12" i="6" s="1"/>
  <c r="BI11" i="12"/>
  <c r="EB13" i="6"/>
  <c r="Y13" i="11"/>
  <c r="V12" i="6"/>
  <c r="U12" i="6"/>
  <c r="W12" i="6"/>
  <c r="BF15" i="11"/>
  <c r="BG13" i="11"/>
  <c r="AZ12" i="6"/>
  <c r="AY12" i="6"/>
  <c r="AX12" i="6"/>
  <c r="AW12" i="6"/>
  <c r="AN14" i="12"/>
  <c r="GC16" i="6" s="1"/>
  <c r="GD16" i="6" s="1"/>
  <c r="BD13" i="12"/>
  <c r="GC15" i="6"/>
  <c r="AJ14" i="12"/>
  <c r="AZ13" i="12"/>
  <c r="FD16" i="11" s="1"/>
  <c r="DY15" i="6"/>
  <c r="AU14" i="6"/>
  <c r="AT14" i="6"/>
  <c r="BV14" i="6"/>
  <c r="BW14" i="6"/>
  <c r="T13" i="6"/>
  <c r="AD14" i="12"/>
  <c r="AS15" i="6"/>
  <c r="AT13" i="12"/>
  <c r="BF16" i="11" s="1"/>
  <c r="CN15" i="11"/>
  <c r="GM14" i="11"/>
  <c r="FH13" i="6"/>
  <c r="FL13" i="6" s="1"/>
  <c r="GI14" i="11" s="1"/>
  <c r="FG13" i="6"/>
  <c r="FE13" i="6"/>
  <c r="FI13" i="6" s="1"/>
  <c r="FF13" i="6"/>
  <c r="BM13" i="6"/>
  <c r="BX14" i="11"/>
  <c r="BL13" i="6"/>
  <c r="BK13" i="6"/>
  <c r="BN13" i="6"/>
  <c r="DW13" i="11"/>
  <c r="DA12" i="6"/>
  <c r="DB12" i="6"/>
  <c r="DC12" i="6"/>
  <c r="DD12" i="6"/>
  <c r="AF14" i="12"/>
  <c r="BU15" i="6"/>
  <c r="AV13" i="12"/>
  <c r="CN16" i="11" s="1"/>
  <c r="CK14" i="6"/>
  <c r="CJ14" i="6"/>
  <c r="AZ13" i="6"/>
  <c r="BD13" i="6" s="1"/>
  <c r="BC14" i="11" s="1"/>
  <c r="AY13" i="6"/>
  <c r="BC13" i="6" s="1"/>
  <c r="AX13" i="6"/>
  <c r="BB13" i="6" s="1"/>
  <c r="AW13" i="6"/>
  <c r="BA13" i="6" s="1"/>
  <c r="BG14" i="11"/>
  <c r="DE15" i="11"/>
  <c r="BI14" i="6"/>
  <c r="BH14" i="6"/>
  <c r="GF13" i="6"/>
  <c r="GK12" i="6"/>
  <c r="EN14" i="11"/>
  <c r="DP13" i="6"/>
  <c r="DO13" i="6"/>
  <c r="DQ13" i="6"/>
  <c r="DR13" i="6"/>
  <c r="AJ13" i="6"/>
  <c r="AN13" i="6" s="1"/>
  <c r="AI13" i="6"/>
  <c r="AM13" i="6" s="1"/>
  <c r="AE14" i="12"/>
  <c r="BG15" i="6"/>
  <c r="AU13" i="12"/>
  <c r="BW16" i="11" s="1"/>
  <c r="AW13" i="12"/>
  <c r="CI15" i="6"/>
  <c r="CX14" i="6"/>
  <c r="CY14" i="6"/>
  <c r="EN14" i="6"/>
  <c r="EO14" i="6"/>
  <c r="R14" i="6"/>
  <c r="S14" i="6"/>
  <c r="AF14" i="6"/>
  <c r="AG14" i="6"/>
  <c r="FL12" i="6"/>
  <c r="DV15" i="11"/>
  <c r="CZ13" i="6"/>
  <c r="FU15" i="11"/>
  <c r="AB14" i="12"/>
  <c r="AR13" i="12"/>
  <c r="Q15" i="6"/>
  <c r="DL14" i="6"/>
  <c r="DM14" i="6"/>
  <c r="AC14" i="12"/>
  <c r="AE15" i="6"/>
  <c r="AS13" i="12"/>
  <c r="AH14" i="12"/>
  <c r="AX13" i="12"/>
  <c r="DV16" i="11" s="1"/>
  <c r="CW15" i="6"/>
  <c r="GL15" i="11"/>
  <c r="AK14" i="12"/>
  <c r="BA13" i="12"/>
  <c r="FU16" i="11" s="1"/>
  <c r="EM15" i="6"/>
  <c r="EM15" i="11"/>
  <c r="FS12" i="6"/>
  <c r="FU12" i="6"/>
  <c r="FT12" i="6"/>
  <c r="FV12" i="6"/>
  <c r="FV13" i="11"/>
  <c r="ES12" i="6"/>
  <c r="ER12" i="6"/>
  <c r="ET12" i="6"/>
  <c r="EQ12" i="6"/>
  <c r="FQ14" i="6"/>
  <c r="FP14" i="6"/>
  <c r="FR14" i="6" s="1"/>
  <c r="FB14" i="6"/>
  <c r="FC14" i="6"/>
  <c r="AI14" i="12"/>
  <c r="DK15" i="6"/>
  <c r="AY13" i="12"/>
  <c r="EM16" i="11" s="1"/>
  <c r="GE14" i="6"/>
  <c r="GD14" i="6"/>
  <c r="EA14" i="6"/>
  <c r="DZ14" i="6"/>
  <c r="HC15" i="11"/>
  <c r="AL14" i="12"/>
  <c r="BB13" i="12"/>
  <c r="GL16" i="11" s="1"/>
  <c r="FA15" i="6"/>
  <c r="EQ13" i="6"/>
  <c r="EU13" i="6" s="1"/>
  <c r="ER13" i="6"/>
  <c r="EV13" i="6" s="1"/>
  <c r="ES13" i="6"/>
  <c r="EW13" i="6" s="1"/>
  <c r="ET13" i="6"/>
  <c r="EX13" i="6" s="1"/>
  <c r="FR14" i="11" s="1"/>
  <c r="FV14" i="11"/>
  <c r="CO13" i="6"/>
  <c r="CN13" i="6"/>
  <c r="CM13" i="6"/>
  <c r="DF14" i="11"/>
  <c r="CP13" i="6"/>
  <c r="CO13" i="11"/>
  <c r="CB12" i="6"/>
  <c r="CA12" i="6"/>
  <c r="BZ12" i="6"/>
  <c r="BY12" i="6"/>
  <c r="AP13" i="11"/>
  <c r="AL12" i="6"/>
  <c r="AK12" i="6"/>
  <c r="AJ12" i="6"/>
  <c r="AI12" i="6"/>
  <c r="FD15" i="11"/>
  <c r="AM14" i="12"/>
  <c r="FO15" i="6"/>
  <c r="BC13" i="12"/>
  <c r="HC16" i="11" s="1"/>
  <c r="C15" i="6"/>
  <c r="E15" i="6" s="1"/>
  <c r="AQ13" i="12"/>
  <c r="GR14" i="6"/>
  <c r="GS14" i="6"/>
  <c r="AO14" i="12"/>
  <c r="GQ15" i="6"/>
  <c r="BE13" i="12"/>
  <c r="GT13" i="6"/>
  <c r="DX12" i="6"/>
  <c r="DW12" i="6"/>
  <c r="D13" i="11"/>
  <c r="EK12" i="6"/>
  <c r="EL12" i="6"/>
  <c r="O12" i="6"/>
  <c r="P12" i="6"/>
  <c r="FA13" i="11"/>
  <c r="EJ13" i="11"/>
  <c r="D40" i="11"/>
  <c r="H13" i="6"/>
  <c r="I13" i="6"/>
  <c r="G13" i="6"/>
  <c r="J13" i="6"/>
  <c r="BG12" i="12"/>
  <c r="BH12" i="12"/>
  <c r="AG14" i="12"/>
  <c r="BF13" i="12"/>
  <c r="AA14" i="12"/>
  <c r="AP13" i="12"/>
  <c r="R15" i="12"/>
  <c r="FU13" i="6" l="1"/>
  <c r="FY13" i="6" s="1"/>
  <c r="BZ13" i="6"/>
  <c r="CD13" i="6" s="1"/>
  <c r="FV13" i="6"/>
  <c r="FZ13" i="6" s="1"/>
  <c r="GZ14" i="11" s="1"/>
  <c r="BY13" i="6"/>
  <c r="CC13" i="6" s="1"/>
  <c r="FM12" i="6"/>
  <c r="GK13" i="11" s="1"/>
  <c r="CB13" i="6"/>
  <c r="CF13" i="6" s="1"/>
  <c r="CK14" i="11" s="1"/>
  <c r="CO14" i="11"/>
  <c r="AD11" i="6"/>
  <c r="AC11" i="6"/>
  <c r="BC11" i="6"/>
  <c r="M11" i="6"/>
  <c r="DS11" i="6"/>
  <c r="FK11" i="6"/>
  <c r="L11" i="6"/>
  <c r="DU11" i="6"/>
  <c r="U12" i="11"/>
  <c r="K11" i="6"/>
  <c r="AL12" i="11"/>
  <c r="DH11" i="6"/>
  <c r="FR12" i="11"/>
  <c r="N11" i="6"/>
  <c r="DF11" i="6"/>
  <c r="HQ12" i="11"/>
  <c r="DE11" i="6"/>
  <c r="CU11" i="6"/>
  <c r="EK11" i="6"/>
  <c r="EL11" i="6"/>
  <c r="GY11" i="6"/>
  <c r="GZ12" i="11"/>
  <c r="HB11" i="6"/>
  <c r="AQ11" i="6"/>
  <c r="AR11" i="6"/>
  <c r="DG11" i="6"/>
  <c r="HA11" i="6"/>
  <c r="FI11" i="6"/>
  <c r="DE16" i="11"/>
  <c r="DB12" i="11"/>
  <c r="GZ11" i="6"/>
  <c r="GB11" i="6"/>
  <c r="GA11" i="6"/>
  <c r="EZ11" i="6"/>
  <c r="EY11" i="6"/>
  <c r="HD14" i="11"/>
  <c r="BR11" i="6"/>
  <c r="CV11" i="6"/>
  <c r="CG11" i="6"/>
  <c r="CH11" i="6"/>
  <c r="FS13" i="6"/>
  <c r="FW13" i="6" s="1"/>
  <c r="GB13" i="6" s="1"/>
  <c r="BQ11" i="6"/>
  <c r="FA12" i="11"/>
  <c r="AP14" i="11"/>
  <c r="BD11" i="6"/>
  <c r="CV12" i="6"/>
  <c r="AK13" i="6"/>
  <c r="AO13" i="6" s="1"/>
  <c r="AR13" i="6" s="1"/>
  <c r="BT12" i="6"/>
  <c r="BA11" i="6"/>
  <c r="FJ11" i="6"/>
  <c r="BP11" i="6"/>
  <c r="GO11" i="6"/>
  <c r="GP11" i="6"/>
  <c r="DT11" i="6"/>
  <c r="CK12" i="11"/>
  <c r="BB11" i="6"/>
  <c r="FL11" i="6"/>
  <c r="BO11" i="6"/>
  <c r="DV11" i="6"/>
  <c r="EB14" i="6"/>
  <c r="ED14" i="6" s="1"/>
  <c r="EH14" i="6" s="1"/>
  <c r="BJ14" i="6"/>
  <c r="BM14" i="6" s="1"/>
  <c r="BQ14" i="6" s="1"/>
  <c r="HD12" i="6"/>
  <c r="DN14" i="6"/>
  <c r="DP14" i="6" s="1"/>
  <c r="BS12" i="6"/>
  <c r="HC12" i="6"/>
  <c r="IJ13" i="11" s="1"/>
  <c r="EP14" i="6"/>
  <c r="EQ14" i="6" s="1"/>
  <c r="DA13" i="6"/>
  <c r="DE13" i="6" s="1"/>
  <c r="DB13" i="6"/>
  <c r="DF13" i="6" s="1"/>
  <c r="DW14" i="11"/>
  <c r="DC13" i="6"/>
  <c r="DG13" i="6" s="1"/>
  <c r="DD13" i="6"/>
  <c r="DH13" i="6" s="1"/>
  <c r="DS14" i="11" s="1"/>
  <c r="GO12" i="6"/>
  <c r="GP12" i="6"/>
  <c r="BQ13" i="6"/>
  <c r="BH15" i="6"/>
  <c r="BI15" i="6"/>
  <c r="HU14" i="11"/>
  <c r="GH13" i="6"/>
  <c r="GG13" i="6"/>
  <c r="GI13" i="6"/>
  <c r="GJ13" i="6"/>
  <c r="FJ13" i="6"/>
  <c r="DZ15" i="6"/>
  <c r="EA15" i="6"/>
  <c r="CC12" i="6"/>
  <c r="AL15" i="12"/>
  <c r="BB14" i="12"/>
  <c r="GL17" i="11" s="1"/>
  <c r="FA16" i="6"/>
  <c r="AE15" i="12"/>
  <c r="AU14" i="12"/>
  <c r="BW17" i="11" s="1"/>
  <c r="BG16" i="6"/>
  <c r="BN14" i="6"/>
  <c r="BR14" i="6" s="1"/>
  <c r="BT15" i="11" s="1"/>
  <c r="BL14" i="6"/>
  <c r="BP14" i="6" s="1"/>
  <c r="BK14" i="6"/>
  <c r="BO14" i="6" s="1"/>
  <c r="CL14" i="6"/>
  <c r="FE15" i="11"/>
  <c r="EC14" i="6"/>
  <c r="EG14" i="6" s="1"/>
  <c r="EV12" i="6"/>
  <c r="CX15" i="6"/>
  <c r="CY15" i="6"/>
  <c r="FK13" i="6"/>
  <c r="AJ15" i="12"/>
  <c r="DY16" i="6"/>
  <c r="AZ14" i="12"/>
  <c r="FD17" i="11" s="1"/>
  <c r="AA12" i="6"/>
  <c r="GI13" i="11"/>
  <c r="BW15" i="6"/>
  <c r="BV15" i="6"/>
  <c r="GE15" i="6"/>
  <c r="GD15" i="6"/>
  <c r="GF15" i="6" s="1"/>
  <c r="GJ15" i="6" s="1"/>
  <c r="GN15" i="6" s="1"/>
  <c r="Y12" i="6"/>
  <c r="AH15" i="12"/>
  <c r="CW16" i="6"/>
  <c r="AX14" i="12"/>
  <c r="AF15" i="12"/>
  <c r="BU16" i="6"/>
  <c r="AV14" i="12"/>
  <c r="CN17" i="11" s="1"/>
  <c r="HT16" i="11"/>
  <c r="Z12" i="6"/>
  <c r="CT13" i="6"/>
  <c r="AO16" i="11"/>
  <c r="AH14" i="6"/>
  <c r="AN15" i="12"/>
  <c r="BD14" i="12"/>
  <c r="CR13" i="6"/>
  <c r="FZ12" i="6"/>
  <c r="GZ13" i="11" s="1"/>
  <c r="AG15" i="6"/>
  <c r="AF15" i="6"/>
  <c r="BE13" i="6"/>
  <c r="BE14" i="11" s="1"/>
  <c r="BF13" i="6"/>
  <c r="DH12" i="6"/>
  <c r="AB12" i="6"/>
  <c r="AK15" i="12"/>
  <c r="BA14" i="12"/>
  <c r="EM16" i="6"/>
  <c r="EX12" i="6"/>
  <c r="AM15" i="12"/>
  <c r="FO16" i="6"/>
  <c r="BC14" i="12"/>
  <c r="FX12" i="6"/>
  <c r="AC15" i="12"/>
  <c r="AS14" i="12"/>
  <c r="AO17" i="11" s="1"/>
  <c r="AE16" i="6"/>
  <c r="T14" i="6"/>
  <c r="DG12" i="6"/>
  <c r="EF13" i="6"/>
  <c r="FE14" i="11"/>
  <c r="EE13" i="6"/>
  <c r="ED13" i="6"/>
  <c r="EC13" i="6"/>
  <c r="BD12" i="6"/>
  <c r="GF14" i="6"/>
  <c r="FY12" i="6"/>
  <c r="FN12" i="6"/>
  <c r="DF12" i="6"/>
  <c r="AT15" i="6"/>
  <c r="AU15" i="6"/>
  <c r="CQ13" i="6"/>
  <c r="FW12" i="6"/>
  <c r="DV13" i="6"/>
  <c r="DE12" i="6"/>
  <c r="AD15" i="12"/>
  <c r="AS16" i="6"/>
  <c r="AT14" i="12"/>
  <c r="FT14" i="6"/>
  <c r="FX14" i="6" s="1"/>
  <c r="FU14" i="6"/>
  <c r="FY14" i="6" s="1"/>
  <c r="FS14" i="6"/>
  <c r="FW14" i="6" s="1"/>
  <c r="HD15" i="11"/>
  <c r="FV14" i="6"/>
  <c r="FZ14" i="6" s="1"/>
  <c r="GZ15" i="11" s="1"/>
  <c r="CE12" i="6"/>
  <c r="FP15" i="6"/>
  <c r="FQ15" i="6"/>
  <c r="AM12" i="6"/>
  <c r="AN12" i="6"/>
  <c r="DM15" i="6"/>
  <c r="DL15" i="6"/>
  <c r="DN15" i="6" s="1"/>
  <c r="S15" i="6"/>
  <c r="R15" i="6"/>
  <c r="DU13" i="6"/>
  <c r="Y14" i="11"/>
  <c r="U13" i="6"/>
  <c r="V13" i="6"/>
  <c r="Z13" i="6" s="1"/>
  <c r="W13" i="6"/>
  <c r="AA13" i="6" s="1"/>
  <c r="X13" i="6"/>
  <c r="CI16" i="6"/>
  <c r="AW14" i="12"/>
  <c r="DE17" i="11" s="1"/>
  <c r="AO12" i="6"/>
  <c r="AI15" i="12"/>
  <c r="DK16" i="6"/>
  <c r="AY14" i="12"/>
  <c r="EM17" i="11" s="1"/>
  <c r="X16" i="11"/>
  <c r="CZ14" i="6"/>
  <c r="DS13" i="6"/>
  <c r="BR13" i="6"/>
  <c r="BA12" i="6"/>
  <c r="EU12" i="6"/>
  <c r="CS13" i="6"/>
  <c r="D15" i="6"/>
  <c r="F15" i="6" s="1"/>
  <c r="H16" i="11" s="1"/>
  <c r="AP12" i="6"/>
  <c r="EY13" i="6"/>
  <c r="FT14" i="11" s="1"/>
  <c r="EZ13" i="6"/>
  <c r="AB15" i="12"/>
  <c r="AR14" i="12"/>
  <c r="X17" i="11" s="1"/>
  <c r="Q16" i="6"/>
  <c r="DT13" i="6"/>
  <c r="CH13" i="6"/>
  <c r="CG13" i="6"/>
  <c r="CM14" i="11" s="1"/>
  <c r="BO13" i="6"/>
  <c r="BX14" i="6"/>
  <c r="BB12" i="6"/>
  <c r="CD12" i="6"/>
  <c r="CF12" i="6"/>
  <c r="EW12" i="6"/>
  <c r="FC15" i="6"/>
  <c r="FB15" i="6"/>
  <c r="FD14" i="6"/>
  <c r="EN15" i="6"/>
  <c r="EO15" i="6"/>
  <c r="CJ15" i="6"/>
  <c r="CK15" i="6"/>
  <c r="BP13" i="6"/>
  <c r="AV14" i="6"/>
  <c r="BC12" i="6"/>
  <c r="D39" i="11"/>
  <c r="C16" i="6"/>
  <c r="E16" i="6" s="1"/>
  <c r="AQ14" i="12"/>
  <c r="G16" i="11"/>
  <c r="IL14" i="11"/>
  <c r="GU13" i="6"/>
  <c r="GV13" i="6"/>
  <c r="GW13" i="6"/>
  <c r="GX13" i="6"/>
  <c r="GR15" i="6"/>
  <c r="GS15" i="6"/>
  <c r="IK16" i="11"/>
  <c r="AO15" i="12"/>
  <c r="BE14" i="12"/>
  <c r="IK17" i="11" s="1"/>
  <c r="GQ16" i="6"/>
  <c r="GT14" i="6"/>
  <c r="BV13" i="11"/>
  <c r="F13" i="11"/>
  <c r="DD13" i="11"/>
  <c r="EL13" i="11"/>
  <c r="FC13" i="11"/>
  <c r="N13" i="6"/>
  <c r="G14" i="6"/>
  <c r="K14" i="6" s="1"/>
  <c r="H14" i="6"/>
  <c r="L14" i="6" s="1"/>
  <c r="I14" i="6"/>
  <c r="M14" i="6" s="1"/>
  <c r="J14" i="6"/>
  <c r="N14" i="6" s="1"/>
  <c r="D15" i="11" s="1"/>
  <c r="K13" i="6"/>
  <c r="L13" i="6"/>
  <c r="BI12" i="12"/>
  <c r="BG13" i="12"/>
  <c r="BH13" i="12"/>
  <c r="M13" i="6"/>
  <c r="AG15" i="12"/>
  <c r="BF14" i="12"/>
  <c r="AA15" i="12"/>
  <c r="AP14" i="12"/>
  <c r="R16" i="12"/>
  <c r="V27" i="4"/>
  <c r="V26" i="4"/>
  <c r="V25" i="4"/>
  <c r="V24" i="4"/>
  <c r="V23" i="4"/>
  <c r="V22" i="4"/>
  <c r="V21" i="4"/>
  <c r="V20" i="4"/>
  <c r="V19" i="4"/>
  <c r="V18" i="4"/>
  <c r="V17" i="4"/>
  <c r="V16" i="4"/>
  <c r="V15" i="4"/>
  <c r="AH15" i="6" l="1"/>
  <c r="DR14" i="6"/>
  <c r="DV14" i="6" s="1"/>
  <c r="EJ15" i="11" s="1"/>
  <c r="DO14" i="6"/>
  <c r="DS14" i="6" s="1"/>
  <c r="FD15" i="6"/>
  <c r="EN15" i="11"/>
  <c r="EU14" i="6"/>
  <c r="DT14" i="6"/>
  <c r="FT12" i="11"/>
  <c r="FZ12" i="11" s="1"/>
  <c r="GA12" i="11" s="1"/>
  <c r="DJ11" i="6"/>
  <c r="DS12" i="11"/>
  <c r="HT17" i="11"/>
  <c r="DD12" i="11"/>
  <c r="DX11" i="6"/>
  <c r="DW11" i="6"/>
  <c r="FC12" i="11"/>
  <c r="FI12" i="11" s="1"/>
  <c r="FJ12" i="11" s="1"/>
  <c r="CM12" i="11"/>
  <c r="CS12" i="11" s="1"/>
  <c r="CT12" i="11" s="1"/>
  <c r="HB12" i="11"/>
  <c r="DI11" i="6"/>
  <c r="FU17" i="11"/>
  <c r="BX15" i="11"/>
  <c r="BC12" i="11"/>
  <c r="O11" i="6"/>
  <c r="P11" i="6"/>
  <c r="HS12" i="11"/>
  <c r="AN12" i="11"/>
  <c r="AT12" i="11" s="1"/>
  <c r="AU12" i="11" s="1"/>
  <c r="HY12" i="11"/>
  <c r="HZ12" i="11" s="1"/>
  <c r="AC12" i="11"/>
  <c r="AD12" i="11" s="1"/>
  <c r="ET14" i="6"/>
  <c r="FN13" i="6"/>
  <c r="EJ12" i="11"/>
  <c r="BT12" i="11"/>
  <c r="DJ12" i="11"/>
  <c r="DK12" i="11" s="1"/>
  <c r="IH12" i="11"/>
  <c r="W12" i="11"/>
  <c r="ES14" i="6"/>
  <c r="ER14" i="6"/>
  <c r="BT11" i="6"/>
  <c r="BS11" i="6"/>
  <c r="HH12" i="11"/>
  <c r="HI12" i="11" s="1"/>
  <c r="GA13" i="6"/>
  <c r="HB14" i="11" s="1"/>
  <c r="FV15" i="11"/>
  <c r="AQ13" i="6"/>
  <c r="AN14" i="11" s="1"/>
  <c r="D12" i="11"/>
  <c r="Y13" i="6"/>
  <c r="AD13" i="6" s="1"/>
  <c r="EF14" i="6"/>
  <c r="EJ14" i="6" s="1"/>
  <c r="FA15" i="11" s="1"/>
  <c r="GI12" i="11"/>
  <c r="HD11" i="6"/>
  <c r="HC11" i="6"/>
  <c r="G17" i="11"/>
  <c r="DQ14" i="6"/>
  <c r="EE14" i="6"/>
  <c r="EI14" i="6" s="1"/>
  <c r="BE11" i="6"/>
  <c r="BF11" i="6"/>
  <c r="FM11" i="6"/>
  <c r="FN11" i="6"/>
  <c r="L13" i="11"/>
  <c r="AB13" i="6"/>
  <c r="U14" i="11" s="1"/>
  <c r="BX15" i="6"/>
  <c r="CB15" i="6" s="1"/>
  <c r="CF15" i="6" s="1"/>
  <c r="CK16" i="11" s="1"/>
  <c r="FM13" i="6"/>
  <c r="GK14" i="11" s="1"/>
  <c r="V44" i="4"/>
  <c r="CL15" i="6"/>
  <c r="DF16" i="11" s="1"/>
  <c r="GA12" i="6"/>
  <c r="HB13" i="11" s="1"/>
  <c r="HH13" i="11" s="1"/>
  <c r="HI13" i="11" s="1"/>
  <c r="GB12" i="6"/>
  <c r="EJ13" i="6"/>
  <c r="AK16" i="12"/>
  <c r="EM17" i="6"/>
  <c r="BA15" i="12"/>
  <c r="BJ15" i="6"/>
  <c r="CO15" i="11"/>
  <c r="BY14" i="6"/>
  <c r="BZ14" i="6"/>
  <c r="CB14" i="6"/>
  <c r="CA14" i="6"/>
  <c r="FC16" i="6"/>
  <c r="FB16" i="6"/>
  <c r="U13" i="11"/>
  <c r="EK14" i="6"/>
  <c r="FC15" i="11" s="1"/>
  <c r="AE16" i="12"/>
  <c r="AU15" i="12"/>
  <c r="BG17" i="6"/>
  <c r="GB14" i="6"/>
  <c r="GA14" i="6"/>
  <c r="HB15" i="11" s="1"/>
  <c r="CV13" i="6"/>
  <c r="CU13" i="6"/>
  <c r="Y15" i="11"/>
  <c r="U14" i="6"/>
  <c r="Y14" i="6" s="1"/>
  <c r="V14" i="6"/>
  <c r="W14" i="6"/>
  <c r="X14" i="6"/>
  <c r="GE16" i="6"/>
  <c r="BW16" i="6"/>
  <c r="BV16" i="6"/>
  <c r="AL16" i="12"/>
  <c r="FA17" i="6"/>
  <c r="BB15" i="12"/>
  <c r="AW15" i="12"/>
  <c r="CI17" i="6"/>
  <c r="AF16" i="6"/>
  <c r="AG16" i="6"/>
  <c r="AF16" i="12"/>
  <c r="BU17" i="6"/>
  <c r="AV15" i="12"/>
  <c r="CN18" i="11" s="1"/>
  <c r="CH12" i="6"/>
  <c r="CG12" i="6"/>
  <c r="GM15" i="11"/>
  <c r="FE14" i="6"/>
  <c r="FG14" i="6"/>
  <c r="FF14" i="6"/>
  <c r="FH14" i="6"/>
  <c r="DS13" i="11"/>
  <c r="AN16" i="12"/>
  <c r="GC17" i="6"/>
  <c r="BD15" i="12"/>
  <c r="DP15" i="6"/>
  <c r="DT15" i="6" s="1"/>
  <c r="EN16" i="11"/>
  <c r="DQ15" i="6"/>
  <c r="DU15" i="6" s="1"/>
  <c r="DO15" i="6"/>
  <c r="DS15" i="6" s="1"/>
  <c r="DR15" i="6"/>
  <c r="DV15" i="6" s="1"/>
  <c r="EJ16" i="11" s="1"/>
  <c r="AV15" i="6"/>
  <c r="GH14" i="6"/>
  <c r="GL14" i="6" s="1"/>
  <c r="GI14" i="6"/>
  <c r="GM14" i="6" s="1"/>
  <c r="HU15" i="11"/>
  <c r="GJ14" i="6"/>
  <c r="GN14" i="6" s="1"/>
  <c r="HQ15" i="11" s="1"/>
  <c r="GG14" i="6"/>
  <c r="GK14" i="6" s="1"/>
  <c r="AC16" i="12"/>
  <c r="AS15" i="12"/>
  <c r="AO18" i="11" s="1"/>
  <c r="AE17" i="6"/>
  <c r="DV17" i="11"/>
  <c r="EP15" i="6"/>
  <c r="EY12" i="6"/>
  <c r="EZ12" i="6"/>
  <c r="S16" i="6"/>
  <c r="R16" i="6"/>
  <c r="BF12" i="6"/>
  <c r="BE12" i="6"/>
  <c r="CJ16" i="6"/>
  <c r="CK16" i="6"/>
  <c r="AL14" i="6"/>
  <c r="AP15" i="11"/>
  <c r="AI14" i="6"/>
  <c r="AJ14" i="6"/>
  <c r="AK14" i="6"/>
  <c r="CY16" i="6"/>
  <c r="CX16" i="6"/>
  <c r="EA16" i="6"/>
  <c r="DZ16" i="6"/>
  <c r="DF15" i="11"/>
  <c r="CP14" i="6"/>
  <c r="CM14" i="6"/>
  <c r="CO14" i="6"/>
  <c r="CN14" i="6"/>
  <c r="EB15" i="6"/>
  <c r="HS13" i="11"/>
  <c r="AI16" i="12"/>
  <c r="DK17" i="6"/>
  <c r="AY15" i="12"/>
  <c r="BF17" i="11"/>
  <c r="AH16" i="12"/>
  <c r="CW17" i="6"/>
  <c r="AX15" i="12"/>
  <c r="DV18" i="11" s="1"/>
  <c r="AJ16" i="12"/>
  <c r="DY17" i="6"/>
  <c r="AZ15" i="12"/>
  <c r="BT14" i="6"/>
  <c r="BS14" i="6"/>
  <c r="BV15" i="11" s="1"/>
  <c r="FG15" i="6"/>
  <c r="FK15" i="6" s="1"/>
  <c r="FF15" i="6"/>
  <c r="FJ15" i="6" s="1"/>
  <c r="GM16" i="11"/>
  <c r="FH15" i="6"/>
  <c r="FL15" i="6" s="1"/>
  <c r="GI16" i="11" s="1"/>
  <c r="FE15" i="6"/>
  <c r="FI15" i="6" s="1"/>
  <c r="BG15" i="11"/>
  <c r="AZ14" i="6"/>
  <c r="AY14" i="6"/>
  <c r="AX14" i="6"/>
  <c r="AW14" i="6"/>
  <c r="BT14" i="11"/>
  <c r="AT16" i="6"/>
  <c r="AU16" i="6"/>
  <c r="HC17" i="11"/>
  <c r="T15" i="6"/>
  <c r="FQ16" i="6"/>
  <c r="FP16" i="6"/>
  <c r="AL15" i="6"/>
  <c r="AP15" i="6" s="1"/>
  <c r="AL16" i="11" s="1"/>
  <c r="AK15" i="6"/>
  <c r="AO15" i="6" s="1"/>
  <c r="AP16" i="11"/>
  <c r="AI15" i="6"/>
  <c r="AM15" i="6" s="1"/>
  <c r="AJ15" i="6"/>
  <c r="AN15" i="6" s="1"/>
  <c r="GN13" i="6"/>
  <c r="CK13" i="11"/>
  <c r="DW13" i="6"/>
  <c r="DX13" i="6"/>
  <c r="BC13" i="11"/>
  <c r="AM16" i="12"/>
  <c r="FO17" i="6"/>
  <c r="BC15" i="12"/>
  <c r="HC18" i="11" s="1"/>
  <c r="DB14" i="11"/>
  <c r="AC12" i="6"/>
  <c r="AD12" i="6"/>
  <c r="GM13" i="6"/>
  <c r="BT13" i="6"/>
  <c r="BS13" i="6"/>
  <c r="AQ12" i="6"/>
  <c r="AR12" i="6"/>
  <c r="D16" i="6"/>
  <c r="F16" i="6" s="1"/>
  <c r="H17" i="11" s="1"/>
  <c r="DW15" i="11"/>
  <c r="DD14" i="6"/>
  <c r="DA14" i="6"/>
  <c r="DB14" i="6"/>
  <c r="DC14" i="6"/>
  <c r="DJ12" i="6"/>
  <c r="DI12" i="6"/>
  <c r="EG13" i="6"/>
  <c r="CZ15" i="6"/>
  <c r="GK13" i="6"/>
  <c r="CO16" i="11"/>
  <c r="BY15" i="6"/>
  <c r="CC15" i="6" s="1"/>
  <c r="BZ15" i="6"/>
  <c r="CD15" i="6" s="1"/>
  <c r="CA15" i="6"/>
  <c r="CE15" i="6" s="1"/>
  <c r="AB16" i="12"/>
  <c r="AR15" i="12"/>
  <c r="X18" i="11" s="1"/>
  <c r="Q17" i="6"/>
  <c r="AD16" i="12"/>
  <c r="AS17" i="6"/>
  <c r="AT15" i="12"/>
  <c r="BF18" i="11" s="1"/>
  <c r="FR15" i="6"/>
  <c r="EH13" i="6"/>
  <c r="FR13" i="11"/>
  <c r="BH16" i="6"/>
  <c r="BI16" i="6"/>
  <c r="GL13" i="6"/>
  <c r="DI13" i="6"/>
  <c r="DU14" i="11" s="1"/>
  <c r="DJ13" i="6"/>
  <c r="DM16" i="6"/>
  <c r="DL16" i="6"/>
  <c r="AL13" i="11"/>
  <c r="EJ14" i="11"/>
  <c r="EI13" i="6"/>
  <c r="EN16" i="6"/>
  <c r="EO16" i="6"/>
  <c r="HU16" i="11"/>
  <c r="GH15" i="6"/>
  <c r="GL15" i="6" s="1"/>
  <c r="GI15" i="6"/>
  <c r="GM15" i="6" s="1"/>
  <c r="HQ16" i="11"/>
  <c r="GG15" i="6"/>
  <c r="GK15" i="6" s="1"/>
  <c r="EZ20" i="11"/>
  <c r="EZ18" i="11"/>
  <c r="EZ26" i="11"/>
  <c r="EZ19" i="11"/>
  <c r="EZ27" i="11"/>
  <c r="EZ23" i="11"/>
  <c r="EZ28" i="11"/>
  <c r="EZ24" i="11"/>
  <c r="EZ30" i="11"/>
  <c r="EZ25" i="11"/>
  <c r="EZ15" i="11"/>
  <c r="EZ22" i="11"/>
  <c r="EZ21" i="11"/>
  <c r="EZ29" i="11"/>
  <c r="EZ14" i="11"/>
  <c r="EZ31" i="11"/>
  <c r="EZ16" i="11"/>
  <c r="EZ17" i="11"/>
  <c r="EZ13" i="11"/>
  <c r="DA19" i="11"/>
  <c r="DA20" i="11"/>
  <c r="DA21" i="11"/>
  <c r="DA24" i="11"/>
  <c r="DA26" i="11"/>
  <c r="DA16" i="11"/>
  <c r="DA22" i="11"/>
  <c r="DA17" i="11"/>
  <c r="DA14" i="11"/>
  <c r="DA23" i="11"/>
  <c r="DA30" i="11"/>
  <c r="DA27" i="11"/>
  <c r="DA15" i="11"/>
  <c r="DA28" i="11"/>
  <c r="DA31" i="11"/>
  <c r="DA29" i="11"/>
  <c r="DA25" i="11"/>
  <c r="DA13" i="11"/>
  <c r="DA18" i="11"/>
  <c r="EI29" i="11"/>
  <c r="EI18" i="11"/>
  <c r="EI14" i="11"/>
  <c r="EI30" i="11"/>
  <c r="EI15" i="11"/>
  <c r="EI31" i="11"/>
  <c r="EI20" i="11"/>
  <c r="EI22" i="11"/>
  <c r="EI16" i="11"/>
  <c r="EI23" i="11"/>
  <c r="EI19" i="11"/>
  <c r="EI17" i="11"/>
  <c r="EI27" i="11"/>
  <c r="EI24" i="11"/>
  <c r="EI21" i="11"/>
  <c r="EI25" i="11"/>
  <c r="EI26" i="11"/>
  <c r="EI13" i="11"/>
  <c r="EI28" i="11"/>
  <c r="FQ26" i="11"/>
  <c r="FQ17" i="11"/>
  <c r="FQ13" i="11"/>
  <c r="FQ19" i="11"/>
  <c r="FQ31" i="11"/>
  <c r="FQ18" i="11"/>
  <c r="FQ25" i="11"/>
  <c r="FQ24" i="11"/>
  <c r="FQ30" i="11"/>
  <c r="FQ20" i="11"/>
  <c r="FQ21" i="11"/>
  <c r="FQ27" i="11"/>
  <c r="FQ22" i="11"/>
  <c r="FQ29" i="11"/>
  <c r="FQ14" i="11"/>
  <c r="FZ14" i="11" s="1"/>
  <c r="GA14" i="11" s="1"/>
  <c r="FQ23" i="11"/>
  <c r="FQ15" i="11"/>
  <c r="FQ28" i="11"/>
  <c r="FQ16" i="11"/>
  <c r="GY19" i="11"/>
  <c r="GY25" i="11"/>
  <c r="GY21" i="11"/>
  <c r="GY26" i="11"/>
  <c r="GY22" i="11"/>
  <c r="GY27" i="11"/>
  <c r="GY23" i="11"/>
  <c r="GY30" i="11"/>
  <c r="GY24" i="11"/>
  <c r="GY20" i="11"/>
  <c r="GY28" i="11"/>
  <c r="GY14" i="11"/>
  <c r="GY29" i="11"/>
  <c r="GY15" i="11"/>
  <c r="HH15" i="11" s="1"/>
  <c r="HI15" i="11" s="1"/>
  <c r="GY31" i="11"/>
  <c r="GY16" i="11"/>
  <c r="GY17" i="11"/>
  <c r="GY18" i="11"/>
  <c r="BS24" i="11"/>
  <c r="BS20" i="11"/>
  <c r="BS25" i="11"/>
  <c r="BS21" i="11"/>
  <c r="BS26" i="11"/>
  <c r="BS27" i="11"/>
  <c r="BS28" i="11"/>
  <c r="BS18" i="11"/>
  <c r="BS29" i="11"/>
  <c r="BS31" i="11"/>
  <c r="BS16" i="11"/>
  <c r="BS13" i="11"/>
  <c r="BS14" i="11"/>
  <c r="BS30" i="11"/>
  <c r="BS15" i="11"/>
  <c r="BS22" i="11"/>
  <c r="BS17" i="11"/>
  <c r="BS23" i="11"/>
  <c r="BS19" i="11"/>
  <c r="DR15" i="11"/>
  <c r="DR31" i="11"/>
  <c r="DR26" i="11"/>
  <c r="DR18" i="11"/>
  <c r="DR16" i="11"/>
  <c r="DR19" i="11"/>
  <c r="DR30" i="11"/>
  <c r="DR17" i="11"/>
  <c r="DR14" i="11"/>
  <c r="DR20" i="11"/>
  <c r="DR13" i="11"/>
  <c r="DR22" i="11"/>
  <c r="DR23" i="11"/>
  <c r="DR28" i="11"/>
  <c r="DR21" i="11"/>
  <c r="DR24" i="11"/>
  <c r="DR29" i="11"/>
  <c r="DR25" i="11"/>
  <c r="DR27" i="11"/>
  <c r="GH23" i="11"/>
  <c r="GH28" i="11"/>
  <c r="GH30" i="11"/>
  <c r="GH24" i="11"/>
  <c r="GH25" i="11"/>
  <c r="GH14" i="11"/>
  <c r="GH19" i="11"/>
  <c r="GH13" i="11"/>
  <c r="GH26" i="11"/>
  <c r="GH15" i="11"/>
  <c r="GH31" i="11"/>
  <c r="GH16" i="11"/>
  <c r="GH27" i="11"/>
  <c r="GH18" i="11"/>
  <c r="GH29" i="11"/>
  <c r="GH20" i="11"/>
  <c r="GH17" i="11"/>
  <c r="GH21" i="11"/>
  <c r="GH22" i="11"/>
  <c r="HP15" i="11"/>
  <c r="HP31" i="11"/>
  <c r="HP22" i="11"/>
  <c r="HP18" i="11"/>
  <c r="HP23" i="11"/>
  <c r="HP19" i="11"/>
  <c r="HP24" i="11"/>
  <c r="HP20" i="11"/>
  <c r="HP16" i="11"/>
  <c r="HP21" i="11"/>
  <c r="HP25" i="11"/>
  <c r="HP27" i="11"/>
  <c r="HP13" i="11"/>
  <c r="HP26" i="11"/>
  <c r="HP28" i="11"/>
  <c r="HP17" i="11"/>
  <c r="HP29" i="11"/>
  <c r="HP14" i="11"/>
  <c r="HP30" i="11"/>
  <c r="IG25" i="11"/>
  <c r="IG19" i="11"/>
  <c r="IG20" i="11"/>
  <c r="IG21" i="11"/>
  <c r="IG22" i="11"/>
  <c r="IG15" i="11"/>
  <c r="IG14" i="11"/>
  <c r="IG23" i="11"/>
  <c r="IG30" i="11"/>
  <c r="IG13" i="11"/>
  <c r="IG24" i="11"/>
  <c r="IG29" i="11"/>
  <c r="IG26" i="11"/>
  <c r="IG27" i="11"/>
  <c r="IG31" i="11"/>
  <c r="IG28" i="11"/>
  <c r="IG16" i="11"/>
  <c r="IG17" i="11"/>
  <c r="IG18" i="11"/>
  <c r="AK13" i="11"/>
  <c r="AK18" i="11"/>
  <c r="AK17" i="11"/>
  <c r="AK21" i="11"/>
  <c r="AK26" i="11"/>
  <c r="AK20" i="11"/>
  <c r="AK29" i="11"/>
  <c r="AK22" i="11"/>
  <c r="AK15" i="11"/>
  <c r="AK14" i="11"/>
  <c r="AK23" i="11"/>
  <c r="AK28" i="11"/>
  <c r="AK31" i="11"/>
  <c r="AK16" i="11"/>
  <c r="AK19" i="11"/>
  <c r="AK30" i="11"/>
  <c r="AK27" i="11"/>
  <c r="AK25" i="11"/>
  <c r="AK24" i="11"/>
  <c r="BB13" i="11"/>
  <c r="BB16" i="11"/>
  <c r="BB19" i="11"/>
  <c r="BB18" i="11"/>
  <c r="BB20" i="11"/>
  <c r="BB22" i="11"/>
  <c r="BB30" i="11"/>
  <c r="BB21" i="11"/>
  <c r="BB24" i="11"/>
  <c r="BB27" i="11"/>
  <c r="BB28" i="11"/>
  <c r="BB23" i="11"/>
  <c r="BB29" i="11"/>
  <c r="BB26" i="11"/>
  <c r="BB25" i="11"/>
  <c r="BB14" i="11"/>
  <c r="BK14" i="11" s="1"/>
  <c r="BL14" i="11" s="1"/>
  <c r="BB17" i="11"/>
  <c r="BB15" i="11"/>
  <c r="BB31" i="11"/>
  <c r="CJ15" i="11"/>
  <c r="CJ14" i="11"/>
  <c r="CS14" i="11" s="1"/>
  <c r="CT14" i="11" s="1"/>
  <c r="CJ30" i="11"/>
  <c r="CJ20" i="11"/>
  <c r="CJ22" i="11"/>
  <c r="CJ16" i="11"/>
  <c r="CJ23" i="11"/>
  <c r="CJ31" i="11"/>
  <c r="CJ17" i="11"/>
  <c r="CJ27" i="11"/>
  <c r="CJ25" i="11"/>
  <c r="CJ13" i="11"/>
  <c r="CJ18" i="11"/>
  <c r="CJ26" i="11"/>
  <c r="CJ19" i="11"/>
  <c r="CJ28" i="11"/>
  <c r="CJ24" i="11"/>
  <c r="CJ21" i="11"/>
  <c r="CJ29" i="11"/>
  <c r="C17" i="6"/>
  <c r="E17" i="6" s="1"/>
  <c r="AQ15" i="12"/>
  <c r="GR16" i="6"/>
  <c r="GS16" i="6"/>
  <c r="GX14" i="6"/>
  <c r="HB14" i="6" s="1"/>
  <c r="IH15" i="11" s="1"/>
  <c r="IL15" i="11"/>
  <c r="GV14" i="6"/>
  <c r="GZ14" i="6" s="1"/>
  <c r="GW14" i="6"/>
  <c r="GU14" i="6"/>
  <c r="GY14" i="6" s="1"/>
  <c r="HA13" i="6"/>
  <c r="GT15" i="6"/>
  <c r="GZ13" i="6"/>
  <c r="HB13" i="6"/>
  <c r="GY13" i="6"/>
  <c r="AO16" i="12"/>
  <c r="BE15" i="12"/>
  <c r="IK18" i="11" s="1"/>
  <c r="GQ17" i="6"/>
  <c r="D14" i="11"/>
  <c r="BG14" i="12"/>
  <c r="BH14" i="12"/>
  <c r="O14" i="6"/>
  <c r="F15" i="11" s="1"/>
  <c r="L15" i="11" s="1"/>
  <c r="M15" i="11" s="1"/>
  <c r="P14" i="6"/>
  <c r="I15" i="6"/>
  <c r="J15" i="6"/>
  <c r="N15" i="6" s="1"/>
  <c r="D16" i="11" s="1"/>
  <c r="G15" i="6"/>
  <c r="H15" i="6"/>
  <c r="BI13" i="12"/>
  <c r="O13" i="6"/>
  <c r="P13" i="6"/>
  <c r="AG16" i="12"/>
  <c r="BF15" i="12"/>
  <c r="AA16" i="12"/>
  <c r="AP15" i="12"/>
  <c r="R17" i="12"/>
  <c r="CB15" i="11" l="1"/>
  <c r="CC15" i="11" s="1"/>
  <c r="BE12" i="11"/>
  <c r="BV12" i="11"/>
  <c r="CB12" i="11" s="1"/>
  <c r="CC12" i="11" s="1"/>
  <c r="EV14" i="6"/>
  <c r="DU14" i="6"/>
  <c r="EL12" i="11"/>
  <c r="ER12" i="11" s="1"/>
  <c r="ES12" i="11" s="1"/>
  <c r="CO15" i="6"/>
  <c r="CS15" i="6" s="1"/>
  <c r="AC13" i="6"/>
  <c r="EX14" i="6"/>
  <c r="CN15" i="6"/>
  <c r="CR15" i="6" s="1"/>
  <c r="CM15" i="6"/>
  <c r="CQ15" i="6" s="1"/>
  <c r="CU15" i="6" s="1"/>
  <c r="DD16" i="11" s="1"/>
  <c r="DJ16" i="11" s="1"/>
  <c r="DK16" i="11" s="1"/>
  <c r="F12" i="11"/>
  <c r="L12" i="11" s="1"/>
  <c r="M12" i="11" s="1"/>
  <c r="DU12" i="11"/>
  <c r="EA12" i="11" s="1"/>
  <c r="EB12" i="11" s="1"/>
  <c r="CP15" i="6"/>
  <c r="CT15" i="6" s="1"/>
  <c r="DB16" i="11" s="1"/>
  <c r="IJ12" i="11"/>
  <c r="IP12" i="11" s="1"/>
  <c r="IQ12" i="11" s="1"/>
  <c r="GK12" i="11"/>
  <c r="GQ12" i="11" s="1"/>
  <c r="GR12" i="11" s="1"/>
  <c r="EW14" i="6"/>
  <c r="BK12" i="11"/>
  <c r="BL12" i="11" s="1"/>
  <c r="FI15" i="11"/>
  <c r="FJ15" i="11" s="1"/>
  <c r="HA14" i="6"/>
  <c r="EL14" i="6"/>
  <c r="M13" i="11"/>
  <c r="CJ32" i="11"/>
  <c r="AK32" i="11"/>
  <c r="GH32" i="11"/>
  <c r="FQ32" i="11"/>
  <c r="BS32" i="11"/>
  <c r="HH14" i="11"/>
  <c r="GY32" i="11"/>
  <c r="EI32" i="11"/>
  <c r="BB32" i="11"/>
  <c r="DR32" i="11"/>
  <c r="DA32" i="11"/>
  <c r="IG32" i="11"/>
  <c r="HP32" i="11"/>
  <c r="FI13" i="11"/>
  <c r="EZ32" i="11"/>
  <c r="GD17" i="6"/>
  <c r="GE17" i="6"/>
  <c r="G16" i="6"/>
  <c r="K16" i="6" s="1"/>
  <c r="J16" i="6"/>
  <c r="H16" i="6"/>
  <c r="L16" i="6" s="1"/>
  <c r="I16" i="6"/>
  <c r="M16" i="6" s="1"/>
  <c r="T16" i="6"/>
  <c r="W16" i="6" s="1"/>
  <c r="AA16" i="6" s="1"/>
  <c r="GQ14" i="11"/>
  <c r="GR14" i="11" s="1"/>
  <c r="EA14" i="11"/>
  <c r="EB14" i="11" s="1"/>
  <c r="FR16" i="6"/>
  <c r="FV16" i="6" s="1"/>
  <c r="FZ16" i="6" s="1"/>
  <c r="GZ17" i="11" s="1"/>
  <c r="AV16" i="6"/>
  <c r="AY16" i="6" s="1"/>
  <c r="BC16" i="6" s="1"/>
  <c r="CZ16" i="6"/>
  <c r="DW17" i="11" s="1"/>
  <c r="GF16" i="6"/>
  <c r="GG16" i="6" s="1"/>
  <c r="GK16" i="6" s="1"/>
  <c r="BX16" i="11"/>
  <c r="BM15" i="6"/>
  <c r="BK15" i="6"/>
  <c r="BL15" i="6"/>
  <c r="BN15" i="6"/>
  <c r="AD17" i="12"/>
  <c r="AT16" i="12"/>
  <c r="AS18" i="6"/>
  <c r="EK13" i="6"/>
  <c r="EL13" i="6"/>
  <c r="AJ17" i="12"/>
  <c r="DY18" i="6"/>
  <c r="AZ16" i="12"/>
  <c r="FD19" i="11" s="1"/>
  <c r="FE16" i="11"/>
  <c r="ED15" i="6"/>
  <c r="EC15" i="6"/>
  <c r="EF15" i="6"/>
  <c r="EE15" i="6"/>
  <c r="AG17" i="6"/>
  <c r="AF17" i="6"/>
  <c r="FU18" i="11"/>
  <c r="S17" i="6"/>
  <c r="R17" i="6"/>
  <c r="DU13" i="11"/>
  <c r="BV14" i="11"/>
  <c r="CR14" i="6"/>
  <c r="EO17" i="6"/>
  <c r="EN17" i="6"/>
  <c r="AT17" i="6"/>
  <c r="AU17" i="6"/>
  <c r="EL14" i="11"/>
  <c r="BA14" i="6"/>
  <c r="CY17" i="6"/>
  <c r="CX17" i="6"/>
  <c r="CS14" i="6"/>
  <c r="CL16" i="6"/>
  <c r="AC17" i="12"/>
  <c r="AS16" i="12"/>
  <c r="AO19" i="11" s="1"/>
  <c r="AE18" i="6"/>
  <c r="HT18" i="11"/>
  <c r="AB14" i="6"/>
  <c r="AK17" i="12"/>
  <c r="BA16" i="12"/>
  <c r="EM18" i="6"/>
  <c r="GP15" i="6"/>
  <c r="GO15" i="6"/>
  <c r="HS16" i="11" s="1"/>
  <c r="HY16" i="11" s="1"/>
  <c r="HZ16" i="11" s="1"/>
  <c r="BJ16" i="6"/>
  <c r="AB17" i="12"/>
  <c r="Q18" i="6"/>
  <c r="AR16" i="12"/>
  <c r="X19" i="11" s="1"/>
  <c r="BB14" i="6"/>
  <c r="AH17" i="12"/>
  <c r="AX16" i="12"/>
  <c r="DV19" i="11" s="1"/>
  <c r="CW18" i="6"/>
  <c r="CQ14" i="6"/>
  <c r="BE13" i="11"/>
  <c r="GP14" i="6"/>
  <c r="GO14" i="6"/>
  <c r="HS15" i="11" s="1"/>
  <c r="HY15" i="11" s="1"/>
  <c r="HZ15" i="11" s="1"/>
  <c r="BW17" i="6"/>
  <c r="BV17" i="6"/>
  <c r="AA14" i="6"/>
  <c r="BC14" i="6"/>
  <c r="CT14" i="6"/>
  <c r="AN17" i="12"/>
  <c r="GC18" i="6"/>
  <c r="BD16" i="12"/>
  <c r="AF17" i="12"/>
  <c r="BU18" i="6"/>
  <c r="AV16" i="12"/>
  <c r="Z14" i="6"/>
  <c r="FA14" i="11"/>
  <c r="BD14" i="6"/>
  <c r="DG14" i="6"/>
  <c r="X15" i="6"/>
  <c r="AB15" i="6" s="1"/>
  <c r="U16" i="11" s="1"/>
  <c r="U15" i="6"/>
  <c r="W15" i="6"/>
  <c r="AA15" i="6" s="1"/>
  <c r="V15" i="6"/>
  <c r="Z15" i="6" s="1"/>
  <c r="Y16" i="11"/>
  <c r="AH16" i="6"/>
  <c r="D17" i="6"/>
  <c r="F17" i="6" s="1"/>
  <c r="H18" i="11" s="1"/>
  <c r="CG15" i="6"/>
  <c r="CM16" i="11" s="1"/>
  <c r="CS16" i="11" s="1"/>
  <c r="CT16" i="11" s="1"/>
  <c r="CH15" i="6"/>
  <c r="DF14" i="6"/>
  <c r="W13" i="11"/>
  <c r="FM15" i="6"/>
  <c r="GK16" i="11" s="1"/>
  <c r="GQ16" i="11" s="1"/>
  <c r="GR16" i="11" s="1"/>
  <c r="FN15" i="6"/>
  <c r="EB16" i="6"/>
  <c r="DE14" i="6"/>
  <c r="AY15" i="6"/>
  <c r="BC15" i="6" s="1"/>
  <c r="AX15" i="6"/>
  <c r="BB15" i="6" s="1"/>
  <c r="AW15" i="6"/>
  <c r="BA15" i="6" s="1"/>
  <c r="AZ15" i="6"/>
  <c r="BD15" i="6" s="1"/>
  <c r="BC16" i="11" s="1"/>
  <c r="BG16" i="11"/>
  <c r="FL14" i="6"/>
  <c r="CJ17" i="6"/>
  <c r="CK17" i="6"/>
  <c r="DD14" i="11"/>
  <c r="FD16" i="6"/>
  <c r="EP16" i="6"/>
  <c r="DH14" i="6"/>
  <c r="FJ14" i="6"/>
  <c r="DE18" i="11"/>
  <c r="GO13" i="6"/>
  <c r="GP13" i="6"/>
  <c r="EM18" i="11"/>
  <c r="AO14" i="6"/>
  <c r="FT13" i="11"/>
  <c r="DX15" i="6"/>
  <c r="DW15" i="6"/>
  <c r="EL16" i="11" s="1"/>
  <c r="ER16" i="11" s="1"/>
  <c r="ES16" i="11" s="1"/>
  <c r="FK14" i="6"/>
  <c r="GL18" i="11"/>
  <c r="CE14" i="6"/>
  <c r="AW16" i="12"/>
  <c r="CI18" i="6"/>
  <c r="DC15" i="6"/>
  <c r="DG15" i="6" s="1"/>
  <c r="DB15" i="6"/>
  <c r="DF15" i="6" s="1"/>
  <c r="DD15" i="6"/>
  <c r="DH15" i="6" s="1"/>
  <c r="DS16" i="11" s="1"/>
  <c r="DA15" i="6"/>
  <c r="DE15" i="6" s="1"/>
  <c r="DW16" i="11"/>
  <c r="DM17" i="6"/>
  <c r="DL17" i="6"/>
  <c r="AN14" i="6"/>
  <c r="FI14" i="6"/>
  <c r="FB17" i="6"/>
  <c r="FC17" i="6"/>
  <c r="CF14" i="6"/>
  <c r="AQ15" i="6"/>
  <c r="AN16" i="11" s="1"/>
  <c r="AT16" i="11" s="1"/>
  <c r="AU16" i="11" s="1"/>
  <c r="AR15" i="6"/>
  <c r="HD16" i="11"/>
  <c r="FU15" i="6"/>
  <c r="FV15" i="6"/>
  <c r="FS15" i="6"/>
  <c r="FT15" i="6"/>
  <c r="FQ17" i="6"/>
  <c r="FP17" i="6"/>
  <c r="HQ14" i="11"/>
  <c r="AI17" i="12"/>
  <c r="DK18" i="6"/>
  <c r="AY16" i="12"/>
  <c r="EM19" i="11" s="1"/>
  <c r="AM14" i="6"/>
  <c r="ET15" i="6"/>
  <c r="ER15" i="6"/>
  <c r="EQ15" i="6"/>
  <c r="FV16" i="11"/>
  <c r="ES15" i="6"/>
  <c r="AL17" i="12"/>
  <c r="FA18" i="6"/>
  <c r="BB16" i="12"/>
  <c r="GL19" i="11" s="1"/>
  <c r="BH17" i="6"/>
  <c r="BI17" i="6"/>
  <c r="CD14" i="6"/>
  <c r="DZ17" i="6"/>
  <c r="EA17" i="6"/>
  <c r="DN16" i="6"/>
  <c r="AM17" i="12"/>
  <c r="FO18" i="6"/>
  <c r="BC16" i="12"/>
  <c r="HC19" i="11" s="1"/>
  <c r="BW18" i="11"/>
  <c r="CC14" i="6"/>
  <c r="AN13" i="11"/>
  <c r="FD18" i="11"/>
  <c r="AP14" i="6"/>
  <c r="CM13" i="11"/>
  <c r="BX16" i="6"/>
  <c r="AE17" i="12"/>
  <c r="AU16" i="12"/>
  <c r="BW19" i="11" s="1"/>
  <c r="BG18" i="6"/>
  <c r="C18" i="6"/>
  <c r="E18" i="6" s="1"/>
  <c r="AQ16" i="12"/>
  <c r="G19" i="11" s="1"/>
  <c r="G18" i="11"/>
  <c r="GU15" i="6"/>
  <c r="GY15" i="6" s="1"/>
  <c r="IL16" i="11"/>
  <c r="GW15" i="6"/>
  <c r="GX15" i="6"/>
  <c r="GV15" i="6"/>
  <c r="HD14" i="6"/>
  <c r="HC14" i="6"/>
  <c r="IJ15" i="11" s="1"/>
  <c r="IP15" i="11" s="1"/>
  <c r="IQ15" i="11" s="1"/>
  <c r="GR17" i="6"/>
  <c r="GS17" i="6"/>
  <c r="IH14" i="11"/>
  <c r="AO17" i="12"/>
  <c r="BE16" i="12"/>
  <c r="GQ18" i="6"/>
  <c r="HD13" i="6"/>
  <c r="HC13" i="6"/>
  <c r="GT16" i="6"/>
  <c r="M15" i="6"/>
  <c r="F14" i="11"/>
  <c r="IP13" i="11"/>
  <c r="GQ13" i="11"/>
  <c r="AT14" i="11"/>
  <c r="CB13" i="11"/>
  <c r="DJ13" i="11"/>
  <c r="HY13" i="11"/>
  <c r="ER13" i="11"/>
  <c r="L15" i="6"/>
  <c r="BH15" i="12"/>
  <c r="BG15" i="12"/>
  <c r="K15" i="6"/>
  <c r="BI14" i="12"/>
  <c r="AG17" i="12"/>
  <c r="BF16" i="12"/>
  <c r="AA17" i="12"/>
  <c r="AP16" i="12"/>
  <c r="R18" i="12"/>
  <c r="BG17" i="11" l="1"/>
  <c r="CV15" i="6"/>
  <c r="AZ16" i="6"/>
  <c r="BD16" i="6" s="1"/>
  <c r="BC17" i="11" s="1"/>
  <c r="AX16" i="6"/>
  <c r="BB16" i="6" s="1"/>
  <c r="AW16" i="6"/>
  <c r="BA16" i="6" s="1"/>
  <c r="EY14" i="6"/>
  <c r="EZ14" i="6"/>
  <c r="HT19" i="11"/>
  <c r="N16" i="6"/>
  <c r="P16" i="6" s="1"/>
  <c r="W14" i="11"/>
  <c r="AC14" i="11" s="1"/>
  <c r="AD14" i="11" s="1"/>
  <c r="DE19" i="11"/>
  <c r="FU19" i="11"/>
  <c r="Y15" i="6"/>
  <c r="EP17" i="6"/>
  <c r="FV18" i="11" s="1"/>
  <c r="FR15" i="11"/>
  <c r="DW14" i="6"/>
  <c r="DX14" i="6"/>
  <c r="C57" i="11"/>
  <c r="HZ13" i="11"/>
  <c r="GR13" i="11"/>
  <c r="CC13" i="11"/>
  <c r="IQ13" i="11"/>
  <c r="EA13" i="11"/>
  <c r="FZ13" i="11"/>
  <c r="ER14" i="11"/>
  <c r="ES14" i="11" s="1"/>
  <c r="FJ13" i="11"/>
  <c r="ES13" i="11"/>
  <c r="CB14" i="11"/>
  <c r="CC14" i="11" s="1"/>
  <c r="HI14" i="11"/>
  <c r="CS13" i="11"/>
  <c r="Y17" i="11"/>
  <c r="DB16" i="6"/>
  <c r="DF16" i="6" s="1"/>
  <c r="V16" i="6"/>
  <c r="Z16" i="6" s="1"/>
  <c r="AD14" i="6"/>
  <c r="DA16" i="6"/>
  <c r="DE16" i="6" s="1"/>
  <c r="U16" i="6"/>
  <c r="Y16" i="6" s="1"/>
  <c r="AC16" i="6" s="1"/>
  <c r="W17" i="11" s="1"/>
  <c r="X16" i="6"/>
  <c r="AB16" i="6" s="1"/>
  <c r="U17" i="11" s="1"/>
  <c r="DD16" i="6"/>
  <c r="DC16" i="6"/>
  <c r="DG16" i="6" s="1"/>
  <c r="FS16" i="6"/>
  <c r="FW16" i="6" s="1"/>
  <c r="FU16" i="6"/>
  <c r="FY16" i="6" s="1"/>
  <c r="GF17" i="6"/>
  <c r="GG17" i="6" s="1"/>
  <c r="O16" i="6"/>
  <c r="F17" i="11" s="1"/>
  <c r="CZ17" i="6"/>
  <c r="DW18" i="11" s="1"/>
  <c r="D18" i="6"/>
  <c r="F18" i="6" s="1"/>
  <c r="H19" i="11" s="1"/>
  <c r="FT16" i="6"/>
  <c r="FX16" i="6" s="1"/>
  <c r="HD17" i="11"/>
  <c r="AC14" i="6"/>
  <c r="W15" i="11" s="1"/>
  <c r="AH17" i="6"/>
  <c r="AP18" i="11" s="1"/>
  <c r="HU17" i="11"/>
  <c r="GI16" i="6"/>
  <c r="CL17" i="6"/>
  <c r="CO17" i="6" s="1"/>
  <c r="CS17" i="6" s="1"/>
  <c r="GJ16" i="6"/>
  <c r="GH16" i="6"/>
  <c r="FR17" i="6"/>
  <c r="FS17" i="6" s="1"/>
  <c r="FW17" i="6" s="1"/>
  <c r="FX15" i="6"/>
  <c r="GM17" i="11"/>
  <c r="FE16" i="6"/>
  <c r="FF16" i="6"/>
  <c r="FG16" i="6"/>
  <c r="FH16" i="6"/>
  <c r="AF18" i="6"/>
  <c r="AG18" i="6"/>
  <c r="DZ18" i="6"/>
  <c r="EA18" i="6"/>
  <c r="AL15" i="11"/>
  <c r="EU15" i="6"/>
  <c r="FW15" i="6"/>
  <c r="AC13" i="11"/>
  <c r="R18" i="6"/>
  <c r="S18" i="6"/>
  <c r="AJ18" i="12"/>
  <c r="DY19" i="6"/>
  <c r="AZ17" i="12"/>
  <c r="FD20" i="11" s="1"/>
  <c r="EN17" i="11"/>
  <c r="DQ16" i="6"/>
  <c r="DR16" i="6"/>
  <c r="DO16" i="6"/>
  <c r="DP16" i="6"/>
  <c r="EV15" i="6"/>
  <c r="FZ15" i="6"/>
  <c r="AB18" i="12"/>
  <c r="Q19" i="6"/>
  <c r="AR17" i="12"/>
  <c r="X20" i="11" s="1"/>
  <c r="AC18" i="12"/>
  <c r="AS17" i="12"/>
  <c r="AO20" i="11" s="1"/>
  <c r="AE19" i="6"/>
  <c r="GL16" i="6"/>
  <c r="FM14" i="6"/>
  <c r="FN14" i="6"/>
  <c r="EX15" i="6"/>
  <c r="FY15" i="6"/>
  <c r="DN17" i="6"/>
  <c r="DI14" i="6"/>
  <c r="DJ14" i="6"/>
  <c r="BM16" i="6"/>
  <c r="BQ16" i="6" s="1"/>
  <c r="BN16" i="6"/>
  <c r="BR16" i="6" s="1"/>
  <c r="BT17" i="11" s="1"/>
  <c r="BK16" i="6"/>
  <c r="BO16" i="6" s="1"/>
  <c r="BL16" i="6"/>
  <c r="BP16" i="6" s="1"/>
  <c r="BX17" i="11"/>
  <c r="DF17" i="11"/>
  <c r="CP16" i="6"/>
  <c r="CN16" i="6"/>
  <c r="CM16" i="6"/>
  <c r="CO16" i="6"/>
  <c r="HS14" i="11"/>
  <c r="DJ14" i="11"/>
  <c r="DK14" i="11" s="1"/>
  <c r="CU14" i="6"/>
  <c r="CV14" i="6"/>
  <c r="FC14" i="11"/>
  <c r="AU18" i="6"/>
  <c r="AT18" i="6"/>
  <c r="CJ18" i="6"/>
  <c r="CK18" i="6"/>
  <c r="GI15" i="11"/>
  <c r="AT13" i="11"/>
  <c r="BF19" i="11"/>
  <c r="EW15" i="6"/>
  <c r="AM18" i="12"/>
  <c r="FO19" i="6"/>
  <c r="BC17" i="12"/>
  <c r="DS15" i="11"/>
  <c r="EB17" i="6"/>
  <c r="DM18" i="6"/>
  <c r="DL18" i="6"/>
  <c r="DN18" i="6" s="1"/>
  <c r="EQ16" i="6"/>
  <c r="EU16" i="6" s="1"/>
  <c r="FV17" i="11"/>
  <c r="ER16" i="6"/>
  <c r="EV16" i="6" s="1"/>
  <c r="ET16" i="6"/>
  <c r="EX16" i="6" s="1"/>
  <c r="FR17" i="11" s="1"/>
  <c r="ES16" i="6"/>
  <c r="EW16" i="6" s="1"/>
  <c r="CN19" i="11"/>
  <c r="AH18" i="12"/>
  <c r="AX17" i="12"/>
  <c r="CW19" i="6"/>
  <c r="AD18" i="12"/>
  <c r="AS19" i="6"/>
  <c r="AT17" i="12"/>
  <c r="BF20" i="11" s="1"/>
  <c r="AI18" i="12"/>
  <c r="DK19" i="6"/>
  <c r="AY17" i="12"/>
  <c r="EM20" i="11" s="1"/>
  <c r="DJ15" i="6"/>
  <c r="DI15" i="6"/>
  <c r="DU16" i="11" s="1"/>
  <c r="EA16" i="11" s="1"/>
  <c r="EB16" i="11" s="1"/>
  <c r="BV18" i="6"/>
  <c r="BW18" i="6"/>
  <c r="BI18" i="6"/>
  <c r="BH18" i="6"/>
  <c r="CG14" i="6"/>
  <c r="CH14" i="6"/>
  <c r="BJ17" i="6"/>
  <c r="BF15" i="6"/>
  <c r="BE15" i="6"/>
  <c r="BE16" i="11" s="1"/>
  <c r="BK16" i="11" s="1"/>
  <c r="BL16" i="11" s="1"/>
  <c r="AF18" i="12"/>
  <c r="AV17" i="12"/>
  <c r="CN20" i="11" s="1"/>
  <c r="BU19" i="6"/>
  <c r="EN18" i="6"/>
  <c r="EO18" i="6"/>
  <c r="BE14" i="6"/>
  <c r="BF14" i="6"/>
  <c r="BR15" i="6"/>
  <c r="FQ18" i="6"/>
  <c r="FP18" i="6"/>
  <c r="FR18" i="6" s="1"/>
  <c r="AQ14" i="6"/>
  <c r="AR14" i="6"/>
  <c r="CY18" i="6"/>
  <c r="CX18" i="6"/>
  <c r="AP17" i="11"/>
  <c r="AL16" i="6"/>
  <c r="AK16" i="6"/>
  <c r="AI16" i="6"/>
  <c r="AJ16" i="6"/>
  <c r="BC15" i="11"/>
  <c r="EI15" i="6"/>
  <c r="BP15" i="6"/>
  <c r="AD15" i="6"/>
  <c r="AC15" i="6"/>
  <c r="AE18" i="12"/>
  <c r="BG19" i="6"/>
  <c r="AU17" i="12"/>
  <c r="BW20" i="11" s="1"/>
  <c r="GE18" i="6"/>
  <c r="GD18" i="6"/>
  <c r="AK18" i="12"/>
  <c r="BA17" i="12"/>
  <c r="EM19" i="6"/>
  <c r="EJ15" i="6"/>
  <c r="BO15" i="6"/>
  <c r="CO17" i="11"/>
  <c r="CB16" i="6"/>
  <c r="BY16" i="6"/>
  <c r="CA16" i="6"/>
  <c r="BZ16" i="6"/>
  <c r="FB18" i="6"/>
  <c r="FC18" i="6"/>
  <c r="CK15" i="11"/>
  <c r="AN18" i="12"/>
  <c r="GC19" i="6"/>
  <c r="BD17" i="12"/>
  <c r="HT20" i="11" s="1"/>
  <c r="BX17" i="6"/>
  <c r="AV17" i="6"/>
  <c r="EG15" i="6"/>
  <c r="BQ15" i="6"/>
  <c r="BF16" i="6"/>
  <c r="BE16" i="6"/>
  <c r="BE17" i="11" s="1"/>
  <c r="BK17" i="11" s="1"/>
  <c r="BL17" i="11" s="1"/>
  <c r="AL18" i="12"/>
  <c r="BB17" i="12"/>
  <c r="FA19" i="6"/>
  <c r="BK13" i="11"/>
  <c r="EE16" i="6"/>
  <c r="EI16" i="6" s="1"/>
  <c r="FE17" i="11"/>
  <c r="EC16" i="6"/>
  <c r="EG16" i="6" s="1"/>
  <c r="ED16" i="6"/>
  <c r="EH16" i="6" s="1"/>
  <c r="EF16" i="6"/>
  <c r="EJ16" i="6" s="1"/>
  <c r="FA17" i="11" s="1"/>
  <c r="U15" i="11"/>
  <c r="ES17" i="6"/>
  <c r="EW17" i="6" s="1"/>
  <c r="EH15" i="6"/>
  <c r="AW17" i="12"/>
  <c r="CI19" i="6"/>
  <c r="BI15" i="12"/>
  <c r="FD17" i="6"/>
  <c r="DB15" i="11"/>
  <c r="T17" i="6"/>
  <c r="C19" i="6"/>
  <c r="D19" i="6" s="1"/>
  <c r="AQ17" i="12"/>
  <c r="AU14" i="11"/>
  <c r="IK19" i="11"/>
  <c r="HA15" i="6"/>
  <c r="GS18" i="6"/>
  <c r="GR18" i="6"/>
  <c r="GT18" i="6" s="1"/>
  <c r="AO18" i="12"/>
  <c r="BE17" i="12"/>
  <c r="IK20" i="11" s="1"/>
  <c r="GQ19" i="6"/>
  <c r="GZ15" i="6"/>
  <c r="HB15" i="6"/>
  <c r="IJ14" i="11"/>
  <c r="GT17" i="6"/>
  <c r="GX16" i="6"/>
  <c r="HB16" i="6" s="1"/>
  <c r="IH17" i="11" s="1"/>
  <c r="IL17" i="11"/>
  <c r="GV16" i="6"/>
  <c r="GZ16" i="6" s="1"/>
  <c r="GW16" i="6"/>
  <c r="GU16" i="6"/>
  <c r="GY16" i="6" s="1"/>
  <c r="DK13" i="11"/>
  <c r="G17" i="6"/>
  <c r="L14" i="11"/>
  <c r="J17" i="6"/>
  <c r="N17" i="6" s="1"/>
  <c r="I17" i="6"/>
  <c r="H17" i="6"/>
  <c r="L17" i="6" s="1"/>
  <c r="O15" i="6"/>
  <c r="P15" i="6"/>
  <c r="BH16" i="12"/>
  <c r="BG16" i="12"/>
  <c r="AG18" i="12"/>
  <c r="BF17" i="12"/>
  <c r="AA18" i="12"/>
  <c r="AP17" i="12"/>
  <c r="R19" i="12"/>
  <c r="ER17" i="6" l="1"/>
  <c r="EV17" i="6" s="1"/>
  <c r="ET17" i="6"/>
  <c r="EX17" i="6" s="1"/>
  <c r="FR18" i="11" s="1"/>
  <c r="EQ17" i="6"/>
  <c r="EU17" i="6" s="1"/>
  <c r="GM16" i="6"/>
  <c r="EL15" i="11"/>
  <c r="ER15" i="11" s="1"/>
  <c r="ES15" i="11" s="1"/>
  <c r="D17" i="11"/>
  <c r="L17" i="11" s="1"/>
  <c r="M17" i="11" s="1"/>
  <c r="HA16" i="6"/>
  <c r="HD16" i="6" s="1"/>
  <c r="GN16" i="6"/>
  <c r="K17" i="6"/>
  <c r="DH16" i="6"/>
  <c r="FT15" i="11"/>
  <c r="FZ15" i="11" s="1"/>
  <c r="GA15" i="11" s="1"/>
  <c r="FI14" i="11"/>
  <c r="HY14" i="11"/>
  <c r="GA13" i="11"/>
  <c r="EB13" i="11"/>
  <c r="BL13" i="11"/>
  <c r="CT13" i="11"/>
  <c r="AU13" i="11"/>
  <c r="M14" i="11"/>
  <c r="AC17" i="11"/>
  <c r="AD17" i="11" s="1"/>
  <c r="AD16" i="6"/>
  <c r="GH17" i="6"/>
  <c r="GL17" i="6" s="1"/>
  <c r="HU18" i="11"/>
  <c r="GB16" i="6"/>
  <c r="GA16" i="6"/>
  <c r="HB17" i="11" s="1"/>
  <c r="HH17" i="11" s="1"/>
  <c r="HI17" i="11" s="1"/>
  <c r="DI16" i="6"/>
  <c r="DU17" i="11" s="1"/>
  <c r="DB17" i="6"/>
  <c r="DA17" i="6"/>
  <c r="DE17" i="6" s="1"/>
  <c r="DD17" i="6"/>
  <c r="DH17" i="6" s="1"/>
  <c r="AJ17" i="6"/>
  <c r="AN17" i="6" s="1"/>
  <c r="DC17" i="6"/>
  <c r="CP17" i="6"/>
  <c r="CT17" i="6" s="1"/>
  <c r="DB18" i="11" s="1"/>
  <c r="BI16" i="12"/>
  <c r="AI17" i="6"/>
  <c r="AM17" i="6" s="1"/>
  <c r="CM17" i="6"/>
  <c r="CQ17" i="6" s="1"/>
  <c r="GJ17" i="6"/>
  <c r="GN17" i="6" s="1"/>
  <c r="AL17" i="6"/>
  <c r="AP17" i="6" s="1"/>
  <c r="AL18" i="11" s="1"/>
  <c r="CN17" i="6"/>
  <c r="CR17" i="6" s="1"/>
  <c r="FT17" i="6"/>
  <c r="FX17" i="6" s="1"/>
  <c r="GI17" i="6"/>
  <c r="GM17" i="6" s="1"/>
  <c r="AK17" i="6"/>
  <c r="AO17" i="6" s="1"/>
  <c r="DF18" i="11"/>
  <c r="HD18" i="11"/>
  <c r="E19" i="6"/>
  <c r="F19" i="6" s="1"/>
  <c r="H20" i="11" s="1"/>
  <c r="FV17" i="6"/>
  <c r="FZ17" i="6" s="1"/>
  <c r="GZ18" i="11" s="1"/>
  <c r="FU17" i="6"/>
  <c r="FY17" i="6" s="1"/>
  <c r="BJ18" i="6"/>
  <c r="BN18" i="6" s="1"/>
  <c r="BR18" i="6" s="1"/>
  <c r="BT19" i="11" s="1"/>
  <c r="AH18" i="6"/>
  <c r="AI18" i="6" s="1"/>
  <c r="AM18" i="6" s="1"/>
  <c r="GF18" i="6"/>
  <c r="GH18" i="6" s="1"/>
  <c r="GL18" i="6" s="1"/>
  <c r="FD18" i="6"/>
  <c r="FG18" i="6" s="1"/>
  <c r="FK18" i="6" s="1"/>
  <c r="CQ16" i="6"/>
  <c r="T18" i="6"/>
  <c r="AT19" i="6"/>
  <c r="AU19" i="6"/>
  <c r="FE18" i="11"/>
  <c r="EC17" i="6"/>
  <c r="EG17" i="6" s="1"/>
  <c r="ED17" i="6"/>
  <c r="EH17" i="6" s="1"/>
  <c r="EE17" i="6"/>
  <c r="EF17" i="6"/>
  <c r="AC15" i="11"/>
  <c r="AD15" i="11" s="1"/>
  <c r="CR16" i="6"/>
  <c r="FL16" i="6"/>
  <c r="DO18" i="6"/>
  <c r="DS18" i="6" s="1"/>
  <c r="DP18" i="6"/>
  <c r="DT18" i="6" s="1"/>
  <c r="EN19" i="11"/>
  <c r="DR18" i="6"/>
  <c r="DV18" i="6" s="1"/>
  <c r="EJ19" i="11" s="1"/>
  <c r="DQ18" i="6"/>
  <c r="DU18" i="6" s="1"/>
  <c r="W16" i="11"/>
  <c r="CZ18" i="6"/>
  <c r="BV19" i="6"/>
  <c r="BW19" i="6"/>
  <c r="BX19" i="6" s="1"/>
  <c r="AD19" i="12"/>
  <c r="AS20" i="6"/>
  <c r="AT18" i="12"/>
  <c r="BF21" i="11" s="1"/>
  <c r="CT16" i="6"/>
  <c r="FR16" i="11"/>
  <c r="FK16" i="6"/>
  <c r="GZ16" i="11"/>
  <c r="AD13" i="11"/>
  <c r="FJ16" i="6"/>
  <c r="AP16" i="6"/>
  <c r="CO18" i="11"/>
  <c r="CA17" i="6"/>
  <c r="CE17" i="6" s="1"/>
  <c r="CB17" i="6"/>
  <c r="CF17" i="6" s="1"/>
  <c r="CK18" i="11" s="1"/>
  <c r="BY17" i="6"/>
  <c r="CC17" i="6" s="1"/>
  <c r="BZ17" i="6"/>
  <c r="CD17" i="6" s="1"/>
  <c r="GD19" i="6"/>
  <c r="GE19" i="6"/>
  <c r="AF19" i="12"/>
  <c r="AV18" i="12"/>
  <c r="CN21" i="11" s="1"/>
  <c r="BU20" i="6"/>
  <c r="CX19" i="6"/>
  <c r="CY19" i="6"/>
  <c r="HC20" i="11"/>
  <c r="FI16" i="6"/>
  <c r="EN19" i="6"/>
  <c r="EO19" i="6"/>
  <c r="DV20" i="11"/>
  <c r="FP19" i="6"/>
  <c r="FQ19" i="6"/>
  <c r="FH17" i="6"/>
  <c r="FL17" i="6" s="1"/>
  <c r="GI18" i="11" s="1"/>
  <c r="FG17" i="6"/>
  <c r="FK17" i="6" s="1"/>
  <c r="FE17" i="6"/>
  <c r="FI17" i="6" s="1"/>
  <c r="GM18" i="11"/>
  <c r="FF17" i="6"/>
  <c r="FJ17" i="6" s="1"/>
  <c r="FC19" i="6"/>
  <c r="FB19" i="6"/>
  <c r="AL19" i="12"/>
  <c r="BB18" i="12"/>
  <c r="GL21" i="11" s="1"/>
  <c r="FA20" i="6"/>
  <c r="AN15" i="11"/>
  <c r="AH19" i="12"/>
  <c r="AX18" i="12"/>
  <c r="DV21" i="11" s="1"/>
  <c r="CW20" i="6"/>
  <c r="AM19" i="12"/>
  <c r="FO20" i="6"/>
  <c r="BC18" i="12"/>
  <c r="HC21" i="11" s="1"/>
  <c r="BS16" i="6"/>
  <c r="BV17" i="11" s="1"/>
  <c r="CB17" i="11" s="1"/>
  <c r="CC17" i="11" s="1"/>
  <c r="BT16" i="6"/>
  <c r="GK15" i="11"/>
  <c r="DT16" i="6"/>
  <c r="GA15" i="6"/>
  <c r="GB15" i="6"/>
  <c r="DD15" i="11"/>
  <c r="DJ15" i="11" s="1"/>
  <c r="DK15" i="11" s="1"/>
  <c r="AN19" i="12"/>
  <c r="GC20" i="6"/>
  <c r="BD18" i="12"/>
  <c r="HT21" i="11" s="1"/>
  <c r="GM19" i="11"/>
  <c r="FE18" i="6"/>
  <c r="FI18" i="6" s="1"/>
  <c r="FF18" i="6"/>
  <c r="FJ18" i="6" s="1"/>
  <c r="FT18" i="6"/>
  <c r="FX18" i="6" s="1"/>
  <c r="HD19" i="11"/>
  <c r="FS18" i="6"/>
  <c r="FW18" i="6" s="1"/>
  <c r="FU18" i="6"/>
  <c r="FV18" i="6"/>
  <c r="FZ18" i="6" s="1"/>
  <c r="GZ19" i="11" s="1"/>
  <c r="BX18" i="6"/>
  <c r="CL18" i="6"/>
  <c r="DS16" i="6"/>
  <c r="GK17" i="6"/>
  <c r="U17" i="6"/>
  <c r="V17" i="6"/>
  <c r="Y18" i="11"/>
  <c r="W17" i="6"/>
  <c r="X17" i="6"/>
  <c r="EK16" i="6"/>
  <c r="FC17" i="11" s="1"/>
  <c r="FI17" i="11" s="1"/>
  <c r="FJ17" i="11" s="1"/>
  <c r="EL16" i="6"/>
  <c r="CD16" i="6"/>
  <c r="AV18" i="6"/>
  <c r="DV16" i="6"/>
  <c r="EY15" i="6"/>
  <c r="EZ15" i="6"/>
  <c r="CS16" i="6"/>
  <c r="CK19" i="6"/>
  <c r="CJ19" i="6"/>
  <c r="CL19" i="6" s="1"/>
  <c r="DE20" i="11"/>
  <c r="CE16" i="6"/>
  <c r="BX18" i="11"/>
  <c r="BL17" i="6"/>
  <c r="BN17" i="6"/>
  <c r="BK17" i="6"/>
  <c r="BO17" i="6" s="1"/>
  <c r="BM17" i="6"/>
  <c r="AG19" i="6"/>
  <c r="AF19" i="6"/>
  <c r="DU16" i="6"/>
  <c r="AK19" i="12"/>
  <c r="BA18" i="12"/>
  <c r="FU21" i="11" s="1"/>
  <c r="EM20" i="6"/>
  <c r="CC16" i="6"/>
  <c r="BT16" i="11"/>
  <c r="FA16" i="11"/>
  <c r="CF16" i="6"/>
  <c r="DU15" i="11"/>
  <c r="AC19" i="12"/>
  <c r="AS18" i="12"/>
  <c r="AO21" i="11" s="1"/>
  <c r="AE20" i="6"/>
  <c r="FU20" i="11"/>
  <c r="AN16" i="6"/>
  <c r="CM15" i="11"/>
  <c r="DM19" i="6"/>
  <c r="DL19" i="6"/>
  <c r="DN19" i="6" s="1"/>
  <c r="EB18" i="6"/>
  <c r="GL20" i="11"/>
  <c r="EZ17" i="6"/>
  <c r="EY17" i="6"/>
  <c r="FT18" i="11" s="1"/>
  <c r="FZ18" i="11" s="1"/>
  <c r="GA18" i="11" s="1"/>
  <c r="EK15" i="6"/>
  <c r="EL15" i="6"/>
  <c r="BI19" i="6"/>
  <c r="BH19" i="6"/>
  <c r="BJ19" i="6" s="1"/>
  <c r="AM16" i="6"/>
  <c r="BE15" i="11"/>
  <c r="AI19" i="12"/>
  <c r="AY18" i="12"/>
  <c r="EM21" i="11" s="1"/>
  <c r="DK20" i="6"/>
  <c r="EZ16" i="6"/>
  <c r="EY16" i="6"/>
  <c r="FT17" i="11" s="1"/>
  <c r="FZ17" i="11" s="1"/>
  <c r="GA17" i="11" s="1"/>
  <c r="GO16" i="6"/>
  <c r="S19" i="6"/>
  <c r="R19" i="6"/>
  <c r="T19" i="6" s="1"/>
  <c r="EA19" i="6"/>
  <c r="DZ19" i="6"/>
  <c r="EB19" i="6" s="1"/>
  <c r="AW18" i="12"/>
  <c r="DE21" i="11" s="1"/>
  <c r="CI20" i="6"/>
  <c r="AY17" i="6"/>
  <c r="BG18" i="11"/>
  <c r="AW17" i="6"/>
  <c r="AX17" i="6"/>
  <c r="AZ17" i="6"/>
  <c r="BS15" i="6"/>
  <c r="BT15" i="6"/>
  <c r="AE19" i="12"/>
  <c r="BG20" i="6"/>
  <c r="AU18" i="12"/>
  <c r="BW21" i="11" s="1"/>
  <c r="AO16" i="6"/>
  <c r="EP18" i="6"/>
  <c r="EN18" i="11"/>
  <c r="DR17" i="6"/>
  <c r="DV17" i="6" s="1"/>
  <c r="EJ18" i="11" s="1"/>
  <c r="DO17" i="6"/>
  <c r="DS17" i="6" s="1"/>
  <c r="DP17" i="6"/>
  <c r="DT17" i="6" s="1"/>
  <c r="DQ17" i="6"/>
  <c r="DU17" i="6" s="1"/>
  <c r="AB19" i="12"/>
  <c r="Q20" i="6"/>
  <c r="AR18" i="12"/>
  <c r="X21" i="11" s="1"/>
  <c r="AJ19" i="12"/>
  <c r="DY20" i="6"/>
  <c r="AZ18" i="12"/>
  <c r="FD21" i="11" s="1"/>
  <c r="C20" i="6"/>
  <c r="E20" i="6" s="1"/>
  <c r="AQ18" i="12"/>
  <c r="G21" i="11" s="1"/>
  <c r="G20" i="11"/>
  <c r="GR19" i="6"/>
  <c r="GS19" i="6"/>
  <c r="IH16" i="11"/>
  <c r="IL19" i="11"/>
  <c r="GU18" i="6"/>
  <c r="GY18" i="6" s="1"/>
  <c r="GV18" i="6"/>
  <c r="GZ18" i="6" s="1"/>
  <c r="GW18" i="6"/>
  <c r="HA18" i="6" s="1"/>
  <c r="GX18" i="6"/>
  <c r="HB18" i="6" s="1"/>
  <c r="IH19" i="11" s="1"/>
  <c r="AO19" i="12"/>
  <c r="GQ20" i="6"/>
  <c r="BE18" i="12"/>
  <c r="IK21" i="11" s="1"/>
  <c r="IL18" i="11"/>
  <c r="GW17" i="6"/>
  <c r="HA17" i="6" s="1"/>
  <c r="GX17" i="6"/>
  <c r="GU17" i="6"/>
  <c r="GV17" i="6"/>
  <c r="IP14" i="11"/>
  <c r="HC15" i="6"/>
  <c r="HD15" i="6"/>
  <c r="D18" i="11"/>
  <c r="F16" i="11"/>
  <c r="M17" i="6"/>
  <c r="G18" i="6"/>
  <c r="H18" i="6"/>
  <c r="I18" i="6"/>
  <c r="J18" i="6"/>
  <c r="BH17" i="12"/>
  <c r="BG17" i="12"/>
  <c r="AG19" i="12"/>
  <c r="BF18" i="12"/>
  <c r="AA19" i="12"/>
  <c r="AP18" i="12"/>
  <c r="R20" i="12"/>
  <c r="HQ17" i="11" l="1"/>
  <c r="DS17" i="11"/>
  <c r="EA17" i="11" s="1"/>
  <c r="EB17" i="11" s="1"/>
  <c r="HC16" i="6"/>
  <c r="IJ17" i="11" s="1"/>
  <c r="IP17" i="11" s="1"/>
  <c r="IQ17" i="11" s="1"/>
  <c r="DG17" i="6"/>
  <c r="P17" i="6"/>
  <c r="DJ16" i="6"/>
  <c r="DF17" i="6"/>
  <c r="GP16" i="6"/>
  <c r="FJ14" i="11"/>
  <c r="BK15" i="11"/>
  <c r="CS15" i="11"/>
  <c r="AT15" i="11"/>
  <c r="EA15" i="11"/>
  <c r="HZ14" i="11"/>
  <c r="FH18" i="6"/>
  <c r="FL18" i="6" s="1"/>
  <c r="GI19" i="11" s="1"/>
  <c r="GI18" i="6"/>
  <c r="GM18" i="6" s="1"/>
  <c r="GO18" i="6" s="1"/>
  <c r="HS19" i="11" s="1"/>
  <c r="GA17" i="6"/>
  <c r="HB18" i="11" s="1"/>
  <c r="HH18" i="11" s="1"/>
  <c r="HI18" i="11" s="1"/>
  <c r="HU19" i="11"/>
  <c r="CU17" i="6"/>
  <c r="DD18" i="11" s="1"/>
  <c r="DJ18" i="11" s="1"/>
  <c r="DK18" i="11" s="1"/>
  <c r="GG18" i="6"/>
  <c r="GK18" i="6" s="1"/>
  <c r="AQ17" i="6"/>
  <c r="AN18" i="11" s="1"/>
  <c r="AT18" i="11"/>
  <c r="AU18" i="11" s="1"/>
  <c r="GB17" i="6"/>
  <c r="AH19" i="6"/>
  <c r="AL19" i="6" s="1"/>
  <c r="BI17" i="12"/>
  <c r="BL18" i="6"/>
  <c r="BP18" i="6" s="1"/>
  <c r="BM18" i="6"/>
  <c r="BQ18" i="6" s="1"/>
  <c r="AR17" i="6"/>
  <c r="BX19" i="11"/>
  <c r="CV17" i="6"/>
  <c r="BK18" i="6"/>
  <c r="BO18" i="6" s="1"/>
  <c r="GJ18" i="6"/>
  <c r="GN18" i="6" s="1"/>
  <c r="HQ19" i="11" s="1"/>
  <c r="AK18" i="6"/>
  <c r="AO18" i="6" s="1"/>
  <c r="AP19" i="11"/>
  <c r="AL18" i="6"/>
  <c r="AP18" i="6" s="1"/>
  <c r="AL19" i="11" s="1"/>
  <c r="AJ18" i="6"/>
  <c r="AN18" i="6" s="1"/>
  <c r="HS17" i="11"/>
  <c r="DF19" i="11"/>
  <c r="CN18" i="6"/>
  <c r="CO18" i="6"/>
  <c r="CM18" i="6"/>
  <c r="CP18" i="6"/>
  <c r="FD19" i="6"/>
  <c r="AF20" i="12"/>
  <c r="BU21" i="6"/>
  <c r="AV19" i="12"/>
  <c r="CN22" i="11" s="1"/>
  <c r="CO19" i="11"/>
  <c r="CA18" i="6"/>
  <c r="CB18" i="6"/>
  <c r="CF18" i="6" s="1"/>
  <c r="CK19" i="11" s="1"/>
  <c r="BY18" i="6"/>
  <c r="CC18" i="6" s="1"/>
  <c r="BZ18" i="6"/>
  <c r="CD18" i="6" s="1"/>
  <c r="DC18" i="6"/>
  <c r="DB18" i="6"/>
  <c r="DW19" i="11"/>
  <c r="DD18" i="6"/>
  <c r="DA18" i="6"/>
  <c r="AB17" i="6"/>
  <c r="EP19" i="6"/>
  <c r="GF19" i="6"/>
  <c r="FM18" i="6"/>
  <c r="GK19" i="11" s="1"/>
  <c r="AG20" i="6"/>
  <c r="AF20" i="6"/>
  <c r="AA17" i="6"/>
  <c r="FY18" i="6"/>
  <c r="AC16" i="11"/>
  <c r="CI21" i="6"/>
  <c r="AW19" i="12"/>
  <c r="DE22" i="11" s="1"/>
  <c r="BD17" i="6"/>
  <c r="BQ17" i="6"/>
  <c r="FP20" i="6"/>
  <c r="FQ20" i="6"/>
  <c r="CH17" i="6"/>
  <c r="CG17" i="6"/>
  <c r="CM18" i="11" s="1"/>
  <c r="CS18" i="11" s="1"/>
  <c r="CT18" i="11" s="1"/>
  <c r="AV19" i="6"/>
  <c r="FC16" i="11"/>
  <c r="Z17" i="6"/>
  <c r="GD20" i="6"/>
  <c r="GE20" i="6"/>
  <c r="AM20" i="12"/>
  <c r="BC19" i="12"/>
  <c r="HC22" i="11" s="1"/>
  <c r="FO21" i="6"/>
  <c r="FN17" i="6"/>
  <c r="FM17" i="6"/>
  <c r="GK18" i="11" s="1"/>
  <c r="GQ18" i="11" s="1"/>
  <c r="GR18" i="11" s="1"/>
  <c r="FN16" i="6"/>
  <c r="FM16" i="6"/>
  <c r="EC18" i="6"/>
  <c r="EG18" i="6" s="1"/>
  <c r="FE19" i="11"/>
  <c r="EF18" i="6"/>
  <c r="EJ18" i="6" s="1"/>
  <c r="FA19" i="11" s="1"/>
  <c r="EE18" i="6"/>
  <c r="EI18" i="6" s="1"/>
  <c r="ED18" i="6"/>
  <c r="DO19" i="6"/>
  <c r="EN20" i="11"/>
  <c r="DQ19" i="6"/>
  <c r="DP19" i="6"/>
  <c r="DT19" i="6" s="1"/>
  <c r="DR19" i="6"/>
  <c r="DV19" i="6" s="1"/>
  <c r="EJ20" i="11" s="1"/>
  <c r="BR17" i="6"/>
  <c r="Y17" i="6"/>
  <c r="AN20" i="12"/>
  <c r="GC21" i="6"/>
  <c r="BD19" i="12"/>
  <c r="HT22" i="11" s="1"/>
  <c r="CY20" i="6"/>
  <c r="CX20" i="6"/>
  <c r="Y19" i="11"/>
  <c r="U18" i="6"/>
  <c r="V18" i="6"/>
  <c r="Z18" i="6" s="1"/>
  <c r="W18" i="6"/>
  <c r="AA18" i="6" s="1"/>
  <c r="X18" i="6"/>
  <c r="AB18" i="6" s="1"/>
  <c r="U19" i="11" s="1"/>
  <c r="BA17" i="6"/>
  <c r="BP17" i="6"/>
  <c r="FT16" i="11"/>
  <c r="BL19" i="6"/>
  <c r="BP19" i="6" s="1"/>
  <c r="BN19" i="6"/>
  <c r="BR19" i="6" s="1"/>
  <c r="BT20" i="11" s="1"/>
  <c r="BX20" i="11"/>
  <c r="BM19" i="6"/>
  <c r="BQ19" i="6" s="1"/>
  <c r="BK19" i="6"/>
  <c r="AI20" i="12"/>
  <c r="DK21" i="6"/>
  <c r="AY19" i="12"/>
  <c r="EM22" i="11" s="1"/>
  <c r="GO17" i="6"/>
  <c r="HS18" i="11" s="1"/>
  <c r="GP17" i="6"/>
  <c r="AH20" i="12"/>
  <c r="CW21" i="6"/>
  <c r="AX19" i="12"/>
  <c r="DV22" i="11" s="1"/>
  <c r="GQ15" i="11"/>
  <c r="DW18" i="6"/>
  <c r="EL19" i="11" s="1"/>
  <c r="ER19" i="11" s="1"/>
  <c r="ES19" i="11" s="1"/>
  <c r="DX18" i="6"/>
  <c r="EI17" i="6"/>
  <c r="DL20" i="6"/>
  <c r="DM20" i="6"/>
  <c r="DJ17" i="6"/>
  <c r="DI17" i="6"/>
  <c r="EJ17" i="11"/>
  <c r="AL17" i="11"/>
  <c r="CU16" i="6"/>
  <c r="CV16" i="6"/>
  <c r="S20" i="6"/>
  <c r="R20" i="6"/>
  <c r="T20" i="6" s="1"/>
  <c r="BV16" i="11"/>
  <c r="BC17" i="6"/>
  <c r="CJ20" i="6"/>
  <c r="CK20" i="6"/>
  <c r="D20" i="6"/>
  <c r="F20" i="6" s="1"/>
  <c r="H21" i="11" s="1"/>
  <c r="CG16" i="6"/>
  <c r="CH16" i="6"/>
  <c r="GI17" i="11"/>
  <c r="CO20" i="11"/>
  <c r="CA19" i="6"/>
  <c r="CE19" i="6" s="1"/>
  <c r="CB19" i="6"/>
  <c r="CF19" i="6" s="1"/>
  <c r="CK20" i="11" s="1"/>
  <c r="BZ19" i="6"/>
  <c r="CD19" i="6" s="1"/>
  <c r="BY19" i="6"/>
  <c r="CC19" i="6" s="1"/>
  <c r="EF19" i="6"/>
  <c r="EJ19" i="6" s="1"/>
  <c r="FA20" i="11" s="1"/>
  <c r="ED19" i="6"/>
  <c r="EH19" i="6" s="1"/>
  <c r="FE20" i="11"/>
  <c r="EE19" i="6"/>
  <c r="EI19" i="6" s="1"/>
  <c r="EC19" i="6"/>
  <c r="EG19" i="6" s="1"/>
  <c r="EO20" i="6"/>
  <c r="EN20" i="6"/>
  <c r="EP20" i="6" s="1"/>
  <c r="BG19" i="11"/>
  <c r="AW18" i="6"/>
  <c r="BA18" i="6" s="1"/>
  <c r="AX18" i="6"/>
  <c r="BB18" i="6" s="1"/>
  <c r="AZ18" i="6"/>
  <c r="BD18" i="6" s="1"/>
  <c r="BC19" i="11" s="1"/>
  <c r="AY18" i="6"/>
  <c r="BC18" i="6" s="1"/>
  <c r="FC20" i="6"/>
  <c r="FB20" i="6"/>
  <c r="DB17" i="11"/>
  <c r="AB20" i="12"/>
  <c r="Q21" i="6"/>
  <c r="AR19" i="12"/>
  <c r="X22" i="11" s="1"/>
  <c r="DS18" i="11"/>
  <c r="AC20" i="12"/>
  <c r="AS19" i="12"/>
  <c r="AO22" i="11" s="1"/>
  <c r="AE21" i="6"/>
  <c r="DZ20" i="6"/>
  <c r="EA20" i="6"/>
  <c r="BI20" i="6"/>
  <c r="BH20" i="6"/>
  <c r="HQ18" i="11"/>
  <c r="DX16" i="6"/>
  <c r="DW16" i="6"/>
  <c r="HB16" i="11"/>
  <c r="BB17" i="6"/>
  <c r="FV19" i="11"/>
  <c r="EQ18" i="6"/>
  <c r="ER18" i="6"/>
  <c r="ES18" i="6"/>
  <c r="ET18" i="6"/>
  <c r="AJ20" i="12"/>
  <c r="AZ19" i="12"/>
  <c r="FD22" i="11" s="1"/>
  <c r="DY21" i="6"/>
  <c r="X19" i="6"/>
  <c r="AB19" i="6" s="1"/>
  <c r="U20" i="11" s="1"/>
  <c r="V19" i="6"/>
  <c r="Z19" i="6" s="1"/>
  <c r="U19" i="6"/>
  <c r="Y19" i="6" s="1"/>
  <c r="Y20" i="11"/>
  <c r="W19" i="6"/>
  <c r="AA19" i="6" s="1"/>
  <c r="AK20" i="12"/>
  <c r="BA19" i="12"/>
  <c r="FU22" i="11" s="1"/>
  <c r="EM21" i="6"/>
  <c r="CP19" i="6"/>
  <c r="CT19" i="6" s="1"/>
  <c r="DB20" i="11" s="1"/>
  <c r="DF20" i="11"/>
  <c r="CO19" i="6"/>
  <c r="CS19" i="6" s="1"/>
  <c r="CN19" i="6"/>
  <c r="CR19" i="6" s="1"/>
  <c r="CM19" i="6"/>
  <c r="CQ19" i="6" s="1"/>
  <c r="AL20" i="12"/>
  <c r="BB19" i="12"/>
  <c r="GL22" i="11" s="1"/>
  <c r="FA21" i="6"/>
  <c r="FR19" i="6"/>
  <c r="CZ19" i="6"/>
  <c r="AT20" i="6"/>
  <c r="AU20" i="6"/>
  <c r="AQ16" i="6"/>
  <c r="AR16" i="6"/>
  <c r="DW17" i="6"/>
  <c r="EL18" i="11" s="1"/>
  <c r="ER18" i="11" s="1"/>
  <c r="ES18" i="11" s="1"/>
  <c r="DX17" i="6"/>
  <c r="AE20" i="12"/>
  <c r="BG21" i="6"/>
  <c r="AU19" i="12"/>
  <c r="BW22" i="11" s="1"/>
  <c r="CK17" i="11"/>
  <c r="BW20" i="6"/>
  <c r="BV20" i="6"/>
  <c r="AD20" i="12"/>
  <c r="AS21" i="6"/>
  <c r="AT19" i="12"/>
  <c r="BF22" i="11" s="1"/>
  <c r="EJ17" i="6"/>
  <c r="C21" i="6"/>
  <c r="E21" i="6" s="1"/>
  <c r="AQ19" i="12"/>
  <c r="G22" i="11" s="1"/>
  <c r="N18" i="6"/>
  <c r="HD18" i="6"/>
  <c r="HC18" i="6"/>
  <c r="IJ19" i="11" s="1"/>
  <c r="IP19" i="11" s="1"/>
  <c r="IQ19" i="11" s="1"/>
  <c r="IQ14" i="11"/>
  <c r="GY17" i="6"/>
  <c r="GR20" i="6"/>
  <c r="GS20" i="6"/>
  <c r="HB17" i="6"/>
  <c r="GT19" i="6"/>
  <c r="AO20" i="12"/>
  <c r="GQ21" i="6"/>
  <c r="BE19" i="12"/>
  <c r="IK22" i="11" s="1"/>
  <c r="IJ16" i="11"/>
  <c r="GZ17" i="6"/>
  <c r="L16" i="11"/>
  <c r="O17" i="6"/>
  <c r="BH18" i="12"/>
  <c r="BG18" i="12"/>
  <c r="L18" i="6"/>
  <c r="G19" i="6"/>
  <c r="K19" i="6" s="1"/>
  <c r="J19" i="6"/>
  <c r="N19" i="6" s="1"/>
  <c r="I19" i="6"/>
  <c r="M19" i="6" s="1"/>
  <c r="H19" i="6"/>
  <c r="L19" i="6" s="1"/>
  <c r="M18" i="6"/>
  <c r="K18" i="6"/>
  <c r="AG20" i="12"/>
  <c r="BF19" i="12"/>
  <c r="AA20" i="12"/>
  <c r="AP19" i="12"/>
  <c r="R21" i="12"/>
  <c r="FN18" i="6" l="1"/>
  <c r="D19" i="11"/>
  <c r="DU19" i="6"/>
  <c r="DS19" i="6"/>
  <c r="DW19" i="6" s="1"/>
  <c r="GQ19" i="11"/>
  <c r="GR19" i="11" s="1"/>
  <c r="AP20" i="11"/>
  <c r="Y18" i="6"/>
  <c r="AD18" i="6" s="1"/>
  <c r="HH16" i="11"/>
  <c r="HI16" i="11" s="1"/>
  <c r="BL15" i="11"/>
  <c r="CT15" i="11"/>
  <c r="EB15" i="11"/>
  <c r="CB16" i="11"/>
  <c r="HY19" i="11"/>
  <c r="HZ19" i="11" s="1"/>
  <c r="M16" i="11"/>
  <c r="IP16" i="11"/>
  <c r="AU15" i="11"/>
  <c r="FZ16" i="11"/>
  <c r="AK19" i="6"/>
  <c r="AO19" i="6" s="1"/>
  <c r="AI19" i="6"/>
  <c r="AM19" i="6" s="1"/>
  <c r="AJ19" i="6"/>
  <c r="AN19" i="6" s="1"/>
  <c r="BS18" i="6"/>
  <c r="BV19" i="11" s="1"/>
  <c r="CB19" i="11" s="1"/>
  <c r="CC19" i="11" s="1"/>
  <c r="GP18" i="6"/>
  <c r="BT18" i="6"/>
  <c r="BX20" i="6"/>
  <c r="CO21" i="11" s="1"/>
  <c r="AR18" i="6"/>
  <c r="EL17" i="6"/>
  <c r="CZ20" i="6"/>
  <c r="DW21" i="11" s="1"/>
  <c r="FR20" i="6"/>
  <c r="FT20" i="6" s="1"/>
  <c r="FX20" i="6" s="1"/>
  <c r="BS17" i="6"/>
  <c r="GF20" i="6"/>
  <c r="GG20" i="6" s="1"/>
  <c r="GK20" i="6" s="1"/>
  <c r="AQ18" i="6"/>
  <c r="AN19" i="11" s="1"/>
  <c r="AT19" i="11" s="1"/>
  <c r="AU19" i="11" s="1"/>
  <c r="BV18" i="11"/>
  <c r="EV18" i="6"/>
  <c r="EB20" i="6"/>
  <c r="CM17" i="11"/>
  <c r="DN20" i="6"/>
  <c r="CT18" i="6"/>
  <c r="BC18" i="11"/>
  <c r="CQ18" i="6"/>
  <c r="DG18" i="6"/>
  <c r="GE21" i="6"/>
  <c r="GD21" i="6"/>
  <c r="CS18" i="6"/>
  <c r="FS19" i="6"/>
  <c r="HD20" i="11"/>
  <c r="FV19" i="6"/>
  <c r="FZ19" i="6" s="1"/>
  <c r="FU19" i="6"/>
  <c r="FT19" i="6"/>
  <c r="FX19" i="6" s="1"/>
  <c r="CG19" i="6"/>
  <c r="CM20" i="11" s="1"/>
  <c r="CS20" i="11" s="1"/>
  <c r="CT20" i="11" s="1"/>
  <c r="CH19" i="6"/>
  <c r="AN21" i="12"/>
  <c r="BD20" i="12"/>
  <c r="HT23" i="11" s="1"/>
  <c r="GC22" i="6"/>
  <c r="CK21" i="6"/>
  <c r="CJ21" i="6"/>
  <c r="GJ19" i="6"/>
  <c r="HU20" i="11"/>
  <c r="GH19" i="6"/>
  <c r="GG19" i="6"/>
  <c r="GI19" i="6"/>
  <c r="CE18" i="6"/>
  <c r="CG18" i="6" s="1"/>
  <c r="CR18" i="6"/>
  <c r="AL21" i="12"/>
  <c r="BB20" i="12"/>
  <c r="GL23" i="11" s="1"/>
  <c r="FA22" i="6"/>
  <c r="DM21" i="6"/>
  <c r="DL21" i="6"/>
  <c r="FV20" i="11"/>
  <c r="EQ19" i="6"/>
  <c r="EU19" i="6" s="1"/>
  <c r="ES19" i="6"/>
  <c r="EW19" i="6" s="1"/>
  <c r="ER19" i="6"/>
  <c r="EV19" i="6" s="1"/>
  <c r="ET19" i="6"/>
  <c r="EX19" i="6" s="1"/>
  <c r="FR20" i="11" s="1"/>
  <c r="DD17" i="11"/>
  <c r="DJ17" i="11" s="1"/>
  <c r="CL20" i="6"/>
  <c r="GR15" i="11"/>
  <c r="AI21" i="12"/>
  <c r="DK22" i="6"/>
  <c r="AY20" i="12"/>
  <c r="EM23" i="11" s="1"/>
  <c r="BT17" i="6"/>
  <c r="AD17" i="6"/>
  <c r="AD16" i="11"/>
  <c r="DC19" i="6"/>
  <c r="DG19" i="6" s="1"/>
  <c r="DD19" i="6"/>
  <c r="DH19" i="6" s="1"/>
  <c r="DS20" i="11" s="1"/>
  <c r="DB19" i="6"/>
  <c r="DF19" i="6" s="1"/>
  <c r="DW20" i="11"/>
  <c r="DA19" i="6"/>
  <c r="DE19" i="6" s="1"/>
  <c r="AW19" i="6"/>
  <c r="BA19" i="6" s="1"/>
  <c r="AX19" i="6"/>
  <c r="AZ19" i="6"/>
  <c r="BD19" i="6" s="1"/>
  <c r="BC20" i="11" s="1"/>
  <c r="AY19" i="6"/>
  <c r="BC19" i="6" s="1"/>
  <c r="BG20" i="11"/>
  <c r="BV21" i="6"/>
  <c r="BW21" i="6"/>
  <c r="HY17" i="11"/>
  <c r="HU21" i="11"/>
  <c r="AD19" i="6"/>
  <c r="AC19" i="6"/>
  <c r="W20" i="11" s="1"/>
  <c r="AC20" i="11" s="1"/>
  <c r="AD20" i="11" s="1"/>
  <c r="S21" i="6"/>
  <c r="R21" i="6"/>
  <c r="ER20" i="6"/>
  <c r="EV20" i="6" s="1"/>
  <c r="ES20" i="6"/>
  <c r="EW20" i="6" s="1"/>
  <c r="EQ20" i="6"/>
  <c r="EU20" i="6" s="1"/>
  <c r="FV21" i="11"/>
  <c r="ET20" i="6"/>
  <c r="EX20" i="6" s="1"/>
  <c r="FR21" i="11" s="1"/>
  <c r="BO19" i="6"/>
  <c r="GK17" i="11"/>
  <c r="GQ17" i="11" s="1"/>
  <c r="AF21" i="12"/>
  <c r="BU22" i="6"/>
  <c r="AV20" i="12"/>
  <c r="CN23" i="11" s="1"/>
  <c r="AK21" i="12"/>
  <c r="EM22" i="6"/>
  <c r="BA20" i="12"/>
  <c r="FU23" i="11" s="1"/>
  <c r="AD21" i="12"/>
  <c r="AT20" i="12"/>
  <c r="BF23" i="11" s="1"/>
  <c r="AS22" i="6"/>
  <c r="EL17" i="11"/>
  <c r="AB21" i="12"/>
  <c r="Q22" i="6"/>
  <c r="AR20" i="12"/>
  <c r="X23" i="11" s="1"/>
  <c r="CY21" i="6"/>
  <c r="CX21" i="6"/>
  <c r="BF17" i="6"/>
  <c r="BE17" i="6"/>
  <c r="BT18" i="11"/>
  <c r="U18" i="11"/>
  <c r="FF19" i="6"/>
  <c r="FG19" i="6"/>
  <c r="FH19" i="6"/>
  <c r="GM20" i="11"/>
  <c r="FE19" i="6"/>
  <c r="FI19" i="6" s="1"/>
  <c r="EU18" i="6"/>
  <c r="AT21" i="6"/>
  <c r="AU21" i="6"/>
  <c r="AH21" i="12"/>
  <c r="AX20" i="12"/>
  <c r="DV23" i="11" s="1"/>
  <c r="CW22" i="6"/>
  <c r="EK17" i="6"/>
  <c r="FC21" i="6"/>
  <c r="FB21" i="6"/>
  <c r="BI21" i="6"/>
  <c r="BH21" i="6"/>
  <c r="BJ21" i="6" s="1"/>
  <c r="AC21" i="12"/>
  <c r="AS20" i="12"/>
  <c r="AO23" i="11" s="1"/>
  <c r="AE22" i="6"/>
  <c r="BE18" i="6"/>
  <c r="BE19" i="11" s="1"/>
  <c r="BK19" i="11" s="1"/>
  <c r="BL19" i="11" s="1"/>
  <c r="BF18" i="6"/>
  <c r="D21" i="6"/>
  <c r="F21" i="6" s="1"/>
  <c r="AE21" i="12"/>
  <c r="BG22" i="6"/>
  <c r="AU20" i="12"/>
  <c r="BW23" i="11" s="1"/>
  <c r="CA20" i="6"/>
  <c r="CE20" i="6" s="1"/>
  <c r="CB20" i="6"/>
  <c r="BZ20" i="6"/>
  <c r="CD20" i="6" s="1"/>
  <c r="BY20" i="6"/>
  <c r="CC20" i="6" s="1"/>
  <c r="Y21" i="11"/>
  <c r="V20" i="6"/>
  <c r="W20" i="6"/>
  <c r="AA20" i="6" s="1"/>
  <c r="X20" i="6"/>
  <c r="AB20" i="6" s="1"/>
  <c r="U21" i="11" s="1"/>
  <c r="U20" i="6"/>
  <c r="Y20" i="6" s="1"/>
  <c r="FP21" i="6"/>
  <c r="FQ21" i="6"/>
  <c r="AC17" i="6"/>
  <c r="DE18" i="6"/>
  <c r="CI22" i="6"/>
  <c r="AW20" i="12"/>
  <c r="DE23" i="11" s="1"/>
  <c r="CV19" i="6"/>
  <c r="CU19" i="6"/>
  <c r="DD20" i="11" s="1"/>
  <c r="DJ20" i="11" s="1"/>
  <c r="DK20" i="11" s="1"/>
  <c r="AN17" i="11"/>
  <c r="AT17" i="11" s="1"/>
  <c r="AJ21" i="12"/>
  <c r="DY22" i="6"/>
  <c r="AZ20" i="12"/>
  <c r="FD23" i="11" s="1"/>
  <c r="HY18" i="11"/>
  <c r="HZ18" i="11" s="1"/>
  <c r="FD20" i="6"/>
  <c r="GB18" i="6"/>
  <c r="DH18" i="6"/>
  <c r="FA18" i="11"/>
  <c r="DZ21" i="6"/>
  <c r="EA21" i="6"/>
  <c r="EX18" i="6"/>
  <c r="EK19" i="6"/>
  <c r="FC20" i="11" s="1"/>
  <c r="FI20" i="11" s="1"/>
  <c r="FJ20" i="11" s="1"/>
  <c r="EL19" i="6"/>
  <c r="DU18" i="11"/>
  <c r="EA18" i="11" s="1"/>
  <c r="AM21" i="12"/>
  <c r="FO22" i="6"/>
  <c r="BC20" i="12"/>
  <c r="HC23" i="11" s="1"/>
  <c r="GA18" i="6"/>
  <c r="FI16" i="11"/>
  <c r="AP19" i="6"/>
  <c r="AG21" i="6"/>
  <c r="AF21" i="6"/>
  <c r="AV20" i="6"/>
  <c r="EN21" i="6"/>
  <c r="EO21" i="6"/>
  <c r="EW18" i="6"/>
  <c r="BJ20" i="6"/>
  <c r="EH18" i="6"/>
  <c r="EK18" i="6" s="1"/>
  <c r="FC19" i="11" s="1"/>
  <c r="FI19" i="11" s="1"/>
  <c r="FJ19" i="11" s="1"/>
  <c r="AH20" i="6"/>
  <c r="DF18" i="6"/>
  <c r="C22" i="6"/>
  <c r="E22" i="6" s="1"/>
  <c r="AQ20" i="12"/>
  <c r="G23" i="11" s="1"/>
  <c r="IQ16" i="11"/>
  <c r="IL20" i="11"/>
  <c r="GW19" i="6"/>
  <c r="GX19" i="6"/>
  <c r="GU19" i="6"/>
  <c r="GY19" i="6" s="1"/>
  <c r="GV19" i="6"/>
  <c r="GT20" i="6"/>
  <c r="HC17" i="6"/>
  <c r="HD17" i="6"/>
  <c r="IH18" i="11"/>
  <c r="GS21" i="6"/>
  <c r="GR21" i="6"/>
  <c r="AO21" i="12"/>
  <c r="GQ22" i="6"/>
  <c r="BE20" i="12"/>
  <c r="IK23" i="11" s="1"/>
  <c r="F18" i="11"/>
  <c r="L18" i="11" s="1"/>
  <c r="M18" i="11" s="1"/>
  <c r="D20" i="11"/>
  <c r="BI18" i="12"/>
  <c r="P19" i="6"/>
  <c r="O19" i="6"/>
  <c r="F20" i="11" s="1"/>
  <c r="P18" i="6"/>
  <c r="O18" i="6"/>
  <c r="F19" i="11" s="1"/>
  <c r="L19" i="11" s="1"/>
  <c r="M19" i="11" s="1"/>
  <c r="I20" i="6"/>
  <c r="M20" i="6" s="1"/>
  <c r="J20" i="6"/>
  <c r="N20" i="6" s="1"/>
  <c r="D21" i="11" s="1"/>
  <c r="H20" i="6"/>
  <c r="L20" i="6" s="1"/>
  <c r="G20" i="6"/>
  <c r="BG19" i="12"/>
  <c r="BH19" i="12"/>
  <c r="AG21" i="12"/>
  <c r="BF20" i="12"/>
  <c r="AA21" i="12"/>
  <c r="AP20" i="12"/>
  <c r="R22" i="12"/>
  <c r="DC20" i="6" l="1"/>
  <c r="DG20" i="6" s="1"/>
  <c r="DB20" i="6"/>
  <c r="DF20" i="6" s="1"/>
  <c r="FU20" i="6"/>
  <c r="FY20" i="6" s="1"/>
  <c r="AQ19" i="6"/>
  <c r="AN20" i="11" s="1"/>
  <c r="DX19" i="6"/>
  <c r="FS20" i="6"/>
  <c r="FW20" i="6" s="1"/>
  <c r="FV20" i="6"/>
  <c r="FZ20" i="6" s="1"/>
  <c r="GZ21" i="11" s="1"/>
  <c r="EL20" i="11"/>
  <c r="ER20" i="11" s="1"/>
  <c r="ES20" i="11" s="1"/>
  <c r="AC18" i="6"/>
  <c r="W19" i="11" s="1"/>
  <c r="AC19" i="11" s="1"/>
  <c r="AD19" i="11" s="1"/>
  <c r="AR19" i="6"/>
  <c r="DD20" i="6"/>
  <c r="DH20" i="6" s="1"/>
  <c r="DS21" i="11" s="1"/>
  <c r="GR17" i="11"/>
  <c r="CS17" i="11"/>
  <c r="CT17" i="11" s="1"/>
  <c r="GA16" i="11"/>
  <c r="CC16" i="11"/>
  <c r="CZ21" i="6"/>
  <c r="DW22" i="11" s="1"/>
  <c r="HD21" i="11"/>
  <c r="DA20" i="6"/>
  <c r="DE20" i="6" s="1"/>
  <c r="AH21" i="6"/>
  <c r="GI20" i="6"/>
  <c r="GM20" i="6" s="1"/>
  <c r="GH20" i="6"/>
  <c r="GL20" i="6" s="1"/>
  <c r="GO20" i="6" s="1"/>
  <c r="HS21" i="11" s="1"/>
  <c r="GJ20" i="6"/>
  <c r="GN20" i="6" s="1"/>
  <c r="HQ21" i="11" s="1"/>
  <c r="G21" i="6"/>
  <c r="K21" i="6" s="1"/>
  <c r="I21" i="6"/>
  <c r="M21" i="6" s="1"/>
  <c r="EL18" i="6"/>
  <c r="T21" i="6"/>
  <c r="X21" i="6" s="1"/>
  <c r="AB21" i="6" s="1"/>
  <c r="GF21" i="6"/>
  <c r="GG21" i="6" s="1"/>
  <c r="GK21" i="6" s="1"/>
  <c r="FD21" i="6"/>
  <c r="FE21" i="6" s="1"/>
  <c r="FI21" i="6" s="1"/>
  <c r="EB18" i="11"/>
  <c r="CM19" i="11"/>
  <c r="CS19" i="11" s="1"/>
  <c r="CT19" i="11" s="1"/>
  <c r="CX22" i="6"/>
  <c r="CY22" i="6"/>
  <c r="BV22" i="6"/>
  <c r="BW22" i="6"/>
  <c r="AU17" i="11"/>
  <c r="FP22" i="6"/>
  <c r="FQ22" i="6"/>
  <c r="DS19" i="11"/>
  <c r="AF22" i="12"/>
  <c r="AV21" i="12"/>
  <c r="CN24" i="11" s="1"/>
  <c r="BU23" i="6"/>
  <c r="U21" i="6"/>
  <c r="Y21" i="6" s="1"/>
  <c r="V21" i="6"/>
  <c r="Z21" i="6" s="1"/>
  <c r="W21" i="6"/>
  <c r="AA21" i="6" s="1"/>
  <c r="BB19" i="6"/>
  <c r="BE19" i="6" s="1"/>
  <c r="BE20" i="11" s="1"/>
  <c r="BK20" i="11" s="1"/>
  <c r="BL20" i="11" s="1"/>
  <c r="DL22" i="6"/>
  <c r="DM22" i="6"/>
  <c r="FC22" i="6"/>
  <c r="FB22" i="6"/>
  <c r="GD22" i="6"/>
  <c r="GE22" i="6"/>
  <c r="DB19" i="11"/>
  <c r="GA20" i="6"/>
  <c r="HB21" i="11" s="1"/>
  <c r="HH21" i="11" s="1"/>
  <c r="HI21" i="11" s="1"/>
  <c r="GB20" i="6"/>
  <c r="AI22" i="12"/>
  <c r="DK23" i="6"/>
  <c r="AY21" i="12"/>
  <c r="EM24" i="11" s="1"/>
  <c r="GI21" i="6"/>
  <c r="GM21" i="6" s="1"/>
  <c r="DC21" i="6"/>
  <c r="DD21" i="6"/>
  <c r="DH21" i="6" s="1"/>
  <c r="DS22" i="11" s="1"/>
  <c r="DA21" i="6"/>
  <c r="DE21" i="6" s="1"/>
  <c r="CG20" i="6"/>
  <c r="CM21" i="11" s="1"/>
  <c r="S22" i="6"/>
  <c r="R22" i="6"/>
  <c r="AL22" i="12"/>
  <c r="BB21" i="12"/>
  <c r="GL24" i="11" s="1"/>
  <c r="FA23" i="6"/>
  <c r="AN22" i="12"/>
  <c r="GC23" i="6"/>
  <c r="BD21" i="12"/>
  <c r="HT24" i="11" s="1"/>
  <c r="FL19" i="6"/>
  <c r="AB22" i="12"/>
  <c r="AR21" i="12"/>
  <c r="X24" i="11" s="1"/>
  <c r="Q23" i="6"/>
  <c r="CI23" i="6"/>
  <c r="AW21" i="12"/>
  <c r="DE24" i="11" s="1"/>
  <c r="FK19" i="6"/>
  <c r="DJ19" i="6"/>
  <c r="DI19" i="6"/>
  <c r="DU20" i="11" s="1"/>
  <c r="EA20" i="11" s="1"/>
  <c r="EB20" i="11" s="1"/>
  <c r="CP20" i="6"/>
  <c r="DF21" i="11"/>
  <c r="CO20" i="6"/>
  <c r="CN20" i="6"/>
  <c r="CM20" i="6"/>
  <c r="DO20" i="6"/>
  <c r="DR20" i="6"/>
  <c r="DQ20" i="6"/>
  <c r="DP20" i="6"/>
  <c r="EN21" i="11"/>
  <c r="DI20" i="6"/>
  <c r="DU21" i="11" s="1"/>
  <c r="FG20" i="6"/>
  <c r="FK20" i="6" s="1"/>
  <c r="GM21" i="11"/>
  <c r="FH20" i="6"/>
  <c r="FL20" i="6" s="1"/>
  <c r="GI21" i="11" s="1"/>
  <c r="FE20" i="6"/>
  <c r="FI20" i="6" s="1"/>
  <c r="FF20" i="6"/>
  <c r="FJ20" i="6" s="1"/>
  <c r="BI22" i="6"/>
  <c r="BH22" i="6"/>
  <c r="BJ22" i="6" s="1"/>
  <c r="AV21" i="6"/>
  <c r="FJ19" i="6"/>
  <c r="AE22" i="12"/>
  <c r="BG23" i="6"/>
  <c r="AU21" i="12"/>
  <c r="BW24" i="11" s="1"/>
  <c r="CU18" i="6"/>
  <c r="CV18" i="6"/>
  <c r="EP21" i="6"/>
  <c r="CF20" i="6"/>
  <c r="CH20" i="6" s="1"/>
  <c r="DI18" i="6"/>
  <c r="DJ18" i="6"/>
  <c r="FR21" i="6"/>
  <c r="BN21" i="6"/>
  <c r="BR21" i="6" s="1"/>
  <c r="BT22" i="11" s="1"/>
  <c r="BK21" i="6"/>
  <c r="BO21" i="6" s="1"/>
  <c r="BM21" i="6"/>
  <c r="BQ21" i="6" s="1"/>
  <c r="BX22" i="11"/>
  <c r="BL21" i="6"/>
  <c r="BP21" i="6" s="1"/>
  <c r="AU22" i="6"/>
  <c r="AT22" i="6"/>
  <c r="BS19" i="6"/>
  <c r="BT19" i="6"/>
  <c r="FY19" i="6"/>
  <c r="CH18" i="6"/>
  <c r="ED20" i="6"/>
  <c r="EF20" i="6"/>
  <c r="FE21" i="11"/>
  <c r="EC20" i="6"/>
  <c r="EE20" i="6"/>
  <c r="W18" i="11"/>
  <c r="AJ20" i="6"/>
  <c r="AK20" i="6"/>
  <c r="AI20" i="6"/>
  <c r="AP21" i="11"/>
  <c r="AL20" i="6"/>
  <c r="GM19" i="6"/>
  <c r="GZ20" i="11"/>
  <c r="AH22" i="12"/>
  <c r="AX21" i="12"/>
  <c r="DV24" i="11" s="1"/>
  <c r="CW23" i="6"/>
  <c r="AJ22" i="12"/>
  <c r="DY23" i="6"/>
  <c r="AZ21" i="12"/>
  <c r="FD24" i="11" s="1"/>
  <c r="EB21" i="6"/>
  <c r="AD22" i="12"/>
  <c r="AT21" i="12"/>
  <c r="BF24" i="11" s="1"/>
  <c r="AS23" i="6"/>
  <c r="ER17" i="11"/>
  <c r="GK19" i="6"/>
  <c r="DK17" i="11"/>
  <c r="FR19" i="11"/>
  <c r="D22" i="6"/>
  <c r="F22" i="6" s="1"/>
  <c r="H23" i="11" s="1"/>
  <c r="AL20" i="11"/>
  <c r="AG22" i="6"/>
  <c r="AF22" i="6"/>
  <c r="EZ18" i="6"/>
  <c r="EY18" i="6"/>
  <c r="CB18" i="11"/>
  <c r="HZ17" i="11"/>
  <c r="EZ19" i="6"/>
  <c r="EY19" i="6"/>
  <c r="FT20" i="11" s="1"/>
  <c r="FZ20" i="11" s="1"/>
  <c r="GA20" i="11" s="1"/>
  <c r="GL19" i="6"/>
  <c r="FW19" i="6"/>
  <c r="DZ22" i="6"/>
  <c r="EA22" i="6"/>
  <c r="FJ16" i="11"/>
  <c r="EO22" i="6"/>
  <c r="EN22" i="6"/>
  <c r="AL21" i="6"/>
  <c r="AP21" i="6" s="1"/>
  <c r="AL22" i="11" s="1"/>
  <c r="AP22" i="11"/>
  <c r="AI21" i="6"/>
  <c r="AM21" i="6" s="1"/>
  <c r="AJ21" i="6"/>
  <c r="AN21" i="6" s="1"/>
  <c r="AK21" i="6"/>
  <c r="AO21" i="6" s="1"/>
  <c r="H21" i="6"/>
  <c r="L21" i="6" s="1"/>
  <c r="BN20" i="6"/>
  <c r="BM20" i="6"/>
  <c r="BX21" i="11"/>
  <c r="BK20" i="6"/>
  <c r="BL20" i="6"/>
  <c r="HB19" i="11"/>
  <c r="Z20" i="6"/>
  <c r="AC20" i="6" s="1"/>
  <c r="AC22" i="12"/>
  <c r="AE23" i="6"/>
  <c r="AS21" i="12"/>
  <c r="AO24" i="11" s="1"/>
  <c r="FC18" i="11"/>
  <c r="FI18" i="11" s="1"/>
  <c r="FJ18" i="11" s="1"/>
  <c r="BE18" i="11"/>
  <c r="BK18" i="11" s="1"/>
  <c r="AK22" i="12"/>
  <c r="EM23" i="6"/>
  <c r="BA21" i="12"/>
  <c r="FU24" i="11" s="1"/>
  <c r="BX21" i="6"/>
  <c r="GN19" i="6"/>
  <c r="AM22" i="12"/>
  <c r="FO23" i="6"/>
  <c r="BC21" i="12"/>
  <c r="HC24" i="11" s="1"/>
  <c r="BG21" i="11"/>
  <c r="AX20" i="6"/>
  <c r="BB20" i="6" s="1"/>
  <c r="AW20" i="6"/>
  <c r="BA20" i="6" s="1"/>
  <c r="AZ20" i="6"/>
  <c r="BD20" i="6" s="1"/>
  <c r="BC21" i="11" s="1"/>
  <c r="AY20" i="6"/>
  <c r="BC20" i="6" s="1"/>
  <c r="CJ22" i="6"/>
  <c r="CK22" i="6"/>
  <c r="EY20" i="6"/>
  <c r="FT21" i="11" s="1"/>
  <c r="FZ21" i="11" s="1"/>
  <c r="GA21" i="11" s="1"/>
  <c r="EZ20" i="6"/>
  <c r="DN21" i="6"/>
  <c r="CL21" i="6"/>
  <c r="C23" i="6"/>
  <c r="D23" i="6" s="1"/>
  <c r="AQ21" i="12"/>
  <c r="G24" i="11" s="1"/>
  <c r="IJ18" i="11"/>
  <c r="IP18" i="11" s="1"/>
  <c r="GU20" i="6"/>
  <c r="GY20" i="6" s="1"/>
  <c r="GW20" i="6"/>
  <c r="HA20" i="6" s="1"/>
  <c r="IL21" i="11"/>
  <c r="GV20" i="6"/>
  <c r="GZ20" i="6" s="1"/>
  <c r="GX20" i="6"/>
  <c r="HB20" i="6" s="1"/>
  <c r="IH21" i="11" s="1"/>
  <c r="AO22" i="12"/>
  <c r="GQ23" i="6"/>
  <c r="BE21" i="12"/>
  <c r="IK24" i="11" s="1"/>
  <c r="GZ19" i="6"/>
  <c r="HB19" i="6"/>
  <c r="HA19" i="6"/>
  <c r="GS22" i="6"/>
  <c r="GR22" i="6"/>
  <c r="GT22" i="6" s="1"/>
  <c r="GT21" i="6"/>
  <c r="L20" i="11"/>
  <c r="M20" i="11" s="1"/>
  <c r="H22" i="11"/>
  <c r="J21" i="6"/>
  <c r="N21" i="6" s="1"/>
  <c r="D22" i="11" s="1"/>
  <c r="BI19" i="12"/>
  <c r="K20" i="6"/>
  <c r="BG20" i="12"/>
  <c r="BH20" i="12"/>
  <c r="AG22" i="12"/>
  <c r="BF21" i="12"/>
  <c r="AA22" i="12"/>
  <c r="AP21" i="12"/>
  <c r="R23" i="12"/>
  <c r="DB21" i="6" l="1"/>
  <c r="AV22" i="6"/>
  <c r="FD22" i="6"/>
  <c r="FE22" i="6" s="1"/>
  <c r="FI22" i="6" s="1"/>
  <c r="FF21" i="6"/>
  <c r="FJ21" i="6" s="1"/>
  <c r="GM22" i="11"/>
  <c r="FG21" i="6"/>
  <c r="FK21" i="6" s="1"/>
  <c r="FH21" i="6"/>
  <c r="FL21" i="6" s="1"/>
  <c r="GI22" i="11" s="1"/>
  <c r="DJ20" i="6"/>
  <c r="EA21" i="11"/>
  <c r="EB21" i="11" s="1"/>
  <c r="Y22" i="11"/>
  <c r="HU22" i="11"/>
  <c r="GH21" i="6"/>
  <c r="GL21" i="6" s="1"/>
  <c r="HY21" i="11"/>
  <c r="HZ21" i="11" s="1"/>
  <c r="GP20" i="6"/>
  <c r="GJ21" i="6"/>
  <c r="GN21" i="6" s="1"/>
  <c r="HQ22" i="11" s="1"/>
  <c r="O21" i="6"/>
  <c r="F22" i="11" s="1"/>
  <c r="L22" i="11" s="1"/>
  <c r="M22" i="11" s="1"/>
  <c r="FN19" i="6"/>
  <c r="DN22" i="6"/>
  <c r="EN23" i="11" s="1"/>
  <c r="BF19" i="6"/>
  <c r="W21" i="11"/>
  <c r="AC21" i="11" s="1"/>
  <c r="AD21" i="11" s="1"/>
  <c r="AF23" i="6"/>
  <c r="AG23" i="6"/>
  <c r="BL18" i="11"/>
  <c r="EH20" i="6"/>
  <c r="BS21" i="6"/>
  <c r="BV22" i="11" s="1"/>
  <c r="CB22" i="11" s="1"/>
  <c r="CC22" i="11" s="1"/>
  <c r="BT21" i="6"/>
  <c r="AL23" i="12"/>
  <c r="BB22" i="12"/>
  <c r="GL25" i="11" s="1"/>
  <c r="FA24" i="6"/>
  <c r="GF22" i="6"/>
  <c r="AT20" i="11"/>
  <c r="GM23" i="11"/>
  <c r="FG22" i="6"/>
  <c r="FK22" i="6" s="1"/>
  <c r="FF22" i="6"/>
  <c r="FJ22" i="6" s="1"/>
  <c r="FH22" i="6"/>
  <c r="FL22" i="6" s="1"/>
  <c r="GI23" i="11" s="1"/>
  <c r="HD22" i="11"/>
  <c r="FV21" i="6"/>
  <c r="FZ21" i="6" s="1"/>
  <c r="FU21" i="6"/>
  <c r="FY21" i="6" s="1"/>
  <c r="FS21" i="6"/>
  <c r="FW21" i="6" s="1"/>
  <c r="FT21" i="6"/>
  <c r="FX21" i="6" s="1"/>
  <c r="BH23" i="6"/>
  <c r="BI23" i="6"/>
  <c r="FR22" i="6"/>
  <c r="FQ23" i="6"/>
  <c r="FP23" i="6"/>
  <c r="AE23" i="12"/>
  <c r="AU22" i="12"/>
  <c r="BW25" i="11" s="1"/>
  <c r="BG24" i="6"/>
  <c r="CK23" i="6"/>
  <c r="CJ23" i="6"/>
  <c r="T22" i="6"/>
  <c r="DL23" i="6"/>
  <c r="DM23" i="6"/>
  <c r="AP20" i="6"/>
  <c r="DT20" i="6"/>
  <c r="AI23" i="12"/>
  <c r="AY22" i="12"/>
  <c r="EM25" i="11" s="1"/>
  <c r="DK24" i="6"/>
  <c r="AD20" i="6"/>
  <c r="DU19" i="11"/>
  <c r="EA19" i="11" s="1"/>
  <c r="DU20" i="6"/>
  <c r="EJ20" i="6"/>
  <c r="DQ21" i="6"/>
  <c r="DU21" i="6" s="1"/>
  <c r="EN22" i="11"/>
  <c r="DP21" i="6"/>
  <c r="DT21" i="6" s="1"/>
  <c r="DO21" i="6"/>
  <c r="DS21" i="6" s="1"/>
  <c r="DR21" i="6"/>
  <c r="DV21" i="6" s="1"/>
  <c r="EJ22" i="11" s="1"/>
  <c r="DV20" i="6"/>
  <c r="S23" i="6"/>
  <c r="R23" i="6"/>
  <c r="AC23" i="12"/>
  <c r="AE24" i="6"/>
  <c r="AS22" i="12"/>
  <c r="AO25" i="11" s="1"/>
  <c r="E23" i="6"/>
  <c r="F23" i="6" s="1"/>
  <c r="H24" i="11" s="1"/>
  <c r="I22" i="6"/>
  <c r="M22" i="6" s="1"/>
  <c r="EP22" i="6"/>
  <c r="FE22" i="11"/>
  <c r="EC21" i="6"/>
  <c r="EG21" i="6" s="1"/>
  <c r="ED21" i="6"/>
  <c r="EH21" i="6" s="1"/>
  <c r="EE21" i="6"/>
  <c r="EI21" i="6" s="1"/>
  <c r="EF21" i="6"/>
  <c r="EJ21" i="6" s="1"/>
  <c r="FA22" i="11" s="1"/>
  <c r="AO20" i="6"/>
  <c r="DS20" i="6"/>
  <c r="FM19" i="6"/>
  <c r="U22" i="11"/>
  <c r="BX22" i="6"/>
  <c r="AM23" i="12"/>
  <c r="FO24" i="6"/>
  <c r="BC22" i="12"/>
  <c r="HC25" i="11" s="1"/>
  <c r="J22" i="6"/>
  <c r="N22" i="6" s="1"/>
  <c r="D23" i="11" s="1"/>
  <c r="AN20" i="6"/>
  <c r="BV20" i="11"/>
  <c r="CB20" i="11" s="1"/>
  <c r="CC20" i="11" s="1"/>
  <c r="CK21" i="11"/>
  <c r="BG22" i="11"/>
  <c r="AX21" i="6"/>
  <c r="BB21" i="6" s="1"/>
  <c r="AW21" i="6"/>
  <c r="BA21" i="6" s="1"/>
  <c r="AZ21" i="6"/>
  <c r="BD21" i="6" s="1"/>
  <c r="AY21" i="6"/>
  <c r="BC21" i="6" s="1"/>
  <c r="AB23" i="12"/>
  <c r="Q24" i="6"/>
  <c r="AR22" i="12"/>
  <c r="X25" i="11" s="1"/>
  <c r="GA19" i="6"/>
  <c r="GB19" i="6"/>
  <c r="AM20" i="6"/>
  <c r="BG23" i="11"/>
  <c r="AX22" i="6"/>
  <c r="BB22" i="6" s="1"/>
  <c r="AW22" i="6"/>
  <c r="BA22" i="6" s="1"/>
  <c r="AZ22" i="6"/>
  <c r="BD22" i="6" s="1"/>
  <c r="BC23" i="11" s="1"/>
  <c r="AY22" i="6"/>
  <c r="BC22" i="6" s="1"/>
  <c r="FV22" i="11"/>
  <c r="ET21" i="6"/>
  <c r="ES21" i="6"/>
  <c r="EW21" i="6" s="1"/>
  <c r="ER21" i="6"/>
  <c r="EV21" i="6" s="1"/>
  <c r="EQ21" i="6"/>
  <c r="BK22" i="6"/>
  <c r="BO22" i="6" s="1"/>
  <c r="BN22" i="6"/>
  <c r="BR22" i="6" s="1"/>
  <c r="BT23" i="11" s="1"/>
  <c r="BM22" i="6"/>
  <c r="BQ22" i="6" s="1"/>
  <c r="BX23" i="11"/>
  <c r="BL22" i="6"/>
  <c r="BP22" i="6" s="1"/>
  <c r="CQ20" i="6"/>
  <c r="CZ22" i="6"/>
  <c r="CI24" i="6"/>
  <c r="AW22" i="12"/>
  <c r="DE25" i="11" s="1"/>
  <c r="CP21" i="6"/>
  <c r="CT21" i="6" s="1"/>
  <c r="DB22" i="11" s="1"/>
  <c r="DF22" i="11"/>
  <c r="CO21" i="6"/>
  <c r="CS21" i="6" s="1"/>
  <c r="CN21" i="6"/>
  <c r="CR21" i="6" s="1"/>
  <c r="CM21" i="6"/>
  <c r="CQ21" i="6" s="1"/>
  <c r="H22" i="6"/>
  <c r="L22" i="6" s="1"/>
  <c r="BO20" i="6"/>
  <c r="BQ20" i="6"/>
  <c r="CC18" i="11"/>
  <c r="AJ23" i="12"/>
  <c r="DY24" i="6"/>
  <c r="AZ22" i="12"/>
  <c r="FD25" i="11" s="1"/>
  <c r="CR20" i="6"/>
  <c r="GI20" i="11"/>
  <c r="DG21" i="6"/>
  <c r="AC21" i="6"/>
  <c r="W22" i="11" s="1"/>
  <c r="AD21" i="6"/>
  <c r="AR21" i="6"/>
  <c r="AQ21" i="6"/>
  <c r="AN22" i="11" s="1"/>
  <c r="AT22" i="11" s="1"/>
  <c r="AU22" i="11" s="1"/>
  <c r="CO22" i="11"/>
  <c r="BZ21" i="6"/>
  <c r="CD21" i="6" s="1"/>
  <c r="CA21" i="6"/>
  <c r="CE21" i="6" s="1"/>
  <c r="CB21" i="6"/>
  <c r="CF21" i="6" s="1"/>
  <c r="CK22" i="11" s="1"/>
  <c r="BY21" i="6"/>
  <c r="CC21" i="6" s="1"/>
  <c r="G22" i="6"/>
  <c r="K22" i="6" s="1"/>
  <c r="AK23" i="12"/>
  <c r="EM24" i="6"/>
  <c r="BA22" i="12"/>
  <c r="FU25" i="11" s="1"/>
  <c r="BR20" i="6"/>
  <c r="GP19" i="6"/>
  <c r="GO19" i="6"/>
  <c r="CX23" i="6"/>
  <c r="CY23" i="6"/>
  <c r="CS20" i="6"/>
  <c r="DF21" i="6"/>
  <c r="DI21" i="6" s="1"/>
  <c r="HH19" i="11"/>
  <c r="EN23" i="6"/>
  <c r="EO23" i="6"/>
  <c r="FT19" i="11"/>
  <c r="ES17" i="11"/>
  <c r="EI20" i="6"/>
  <c r="AC18" i="11"/>
  <c r="FM20" i="6"/>
  <c r="GK21" i="11" s="1"/>
  <c r="GQ21" i="11" s="1"/>
  <c r="GR21" i="11" s="1"/>
  <c r="FN20" i="6"/>
  <c r="GE23" i="6"/>
  <c r="GD23" i="6"/>
  <c r="BV23" i="6"/>
  <c r="BW23" i="6"/>
  <c r="FM21" i="6"/>
  <c r="GK22" i="11" s="1"/>
  <c r="GQ22" i="11" s="1"/>
  <c r="GR22" i="11" s="1"/>
  <c r="FN21" i="6"/>
  <c r="HQ20" i="11"/>
  <c r="CL22" i="6"/>
  <c r="BF20" i="6"/>
  <c r="BE20" i="6"/>
  <c r="AU23" i="6"/>
  <c r="AT23" i="6"/>
  <c r="AH23" i="12"/>
  <c r="AX22" i="12"/>
  <c r="DV25" i="11" s="1"/>
  <c r="CW24" i="6"/>
  <c r="EG20" i="6"/>
  <c r="DD19" i="11"/>
  <c r="DJ19" i="11" s="1"/>
  <c r="CT20" i="6"/>
  <c r="AN23" i="12"/>
  <c r="GC24" i="6"/>
  <c r="BD22" i="12"/>
  <c r="HT25" i="11" s="1"/>
  <c r="AD23" i="12"/>
  <c r="AT22" i="12"/>
  <c r="BF25" i="11" s="1"/>
  <c r="AS24" i="6"/>
  <c r="BP20" i="6"/>
  <c r="EA23" i="6"/>
  <c r="DZ23" i="6"/>
  <c r="EB22" i="6"/>
  <c r="AH22" i="6"/>
  <c r="FB23" i="6"/>
  <c r="FC23" i="6"/>
  <c r="FD23" i="6" s="1"/>
  <c r="GO21" i="6"/>
  <c r="HS22" i="11" s="1"/>
  <c r="AF23" i="12"/>
  <c r="AV22" i="12"/>
  <c r="CN25" i="11" s="1"/>
  <c r="BU24" i="6"/>
  <c r="C24" i="6"/>
  <c r="D24" i="6" s="1"/>
  <c r="AQ22" i="12"/>
  <c r="G25" i="11" s="1"/>
  <c r="HC19" i="6"/>
  <c r="IJ20" i="11"/>
  <c r="IQ18" i="11"/>
  <c r="AO23" i="12"/>
  <c r="GQ24" i="6"/>
  <c r="BE22" i="12"/>
  <c r="IK25" i="11" s="1"/>
  <c r="HC20" i="6"/>
  <c r="IJ21" i="11" s="1"/>
  <c r="IP21" i="11" s="1"/>
  <c r="IQ21" i="11" s="1"/>
  <c r="HD20" i="6"/>
  <c r="HD19" i="6"/>
  <c r="GU21" i="6"/>
  <c r="GY21" i="6" s="1"/>
  <c r="GV21" i="6"/>
  <c r="GZ21" i="6" s="1"/>
  <c r="GW21" i="6"/>
  <c r="HA21" i="6" s="1"/>
  <c r="GX21" i="6"/>
  <c r="HB21" i="6" s="1"/>
  <c r="IH22" i="11" s="1"/>
  <c r="IL22" i="11"/>
  <c r="GR23" i="6"/>
  <c r="GS23" i="6"/>
  <c r="GW22" i="6"/>
  <c r="HA22" i="6" s="1"/>
  <c r="IL23" i="11"/>
  <c r="GU22" i="6"/>
  <c r="GY22" i="6" s="1"/>
  <c r="GV22" i="6"/>
  <c r="GZ22" i="6" s="1"/>
  <c r="GX22" i="6"/>
  <c r="HB22" i="6" s="1"/>
  <c r="IH23" i="11" s="1"/>
  <c r="IH20" i="11"/>
  <c r="P21" i="6"/>
  <c r="P20" i="6"/>
  <c r="O20" i="6"/>
  <c r="F21" i="11" s="1"/>
  <c r="L21" i="11" s="1"/>
  <c r="M21" i="11" s="1"/>
  <c r="BG21" i="12"/>
  <c r="BH21" i="12"/>
  <c r="BI20" i="12"/>
  <c r="AG23" i="12"/>
  <c r="BF22" i="12"/>
  <c r="AA23" i="12"/>
  <c r="AP22" i="12"/>
  <c r="R24" i="12"/>
  <c r="DQ22" i="6" l="1"/>
  <c r="DU22" i="6" s="1"/>
  <c r="GP21" i="6"/>
  <c r="AV23" i="6"/>
  <c r="CL23" i="6"/>
  <c r="FZ19" i="11"/>
  <c r="HY22" i="11"/>
  <c r="HZ22" i="11" s="1"/>
  <c r="DO22" i="6"/>
  <c r="DS22" i="6" s="1"/>
  <c r="DR22" i="6"/>
  <c r="DV22" i="6" s="1"/>
  <c r="EJ23" i="11" s="1"/>
  <c r="FR23" i="6"/>
  <c r="E24" i="6"/>
  <c r="F24" i="6" s="1"/>
  <c r="H25" i="11" s="1"/>
  <c r="O22" i="6"/>
  <c r="F23" i="11" s="1"/>
  <c r="L23" i="11" s="1"/>
  <c r="M23" i="11" s="1"/>
  <c r="DP22" i="6"/>
  <c r="DT22" i="6" s="1"/>
  <c r="DW22" i="6" s="1"/>
  <c r="EL23" i="11" s="1"/>
  <c r="ER23" i="11" s="1"/>
  <c r="ES23" i="11" s="1"/>
  <c r="P22" i="6"/>
  <c r="AC22" i="11"/>
  <c r="AD22" i="11" s="1"/>
  <c r="H23" i="6"/>
  <c r="L23" i="6" s="1"/>
  <c r="G23" i="6"/>
  <c r="K23" i="6" s="1"/>
  <c r="DJ21" i="6"/>
  <c r="J23" i="6"/>
  <c r="N23" i="6" s="1"/>
  <c r="D24" i="11" s="1"/>
  <c r="GF23" i="6"/>
  <c r="GH23" i="6" s="1"/>
  <c r="GL23" i="6" s="1"/>
  <c r="EB19" i="11"/>
  <c r="GA19" i="11"/>
  <c r="DU22" i="11"/>
  <c r="EA22" i="11" s="1"/>
  <c r="EB22" i="11" s="1"/>
  <c r="CJ24" i="6"/>
  <c r="CK24" i="6"/>
  <c r="BC22" i="11"/>
  <c r="BZ22" i="6"/>
  <c r="CD22" i="6" s="1"/>
  <c r="BY22" i="6"/>
  <c r="CC22" i="6" s="1"/>
  <c r="CO23" i="11"/>
  <c r="CA22" i="6"/>
  <c r="CE22" i="6" s="1"/>
  <c r="CB22" i="6"/>
  <c r="CF22" i="6" s="1"/>
  <c r="CK23" i="11" s="1"/>
  <c r="AL21" i="11"/>
  <c r="GA21" i="6"/>
  <c r="HB22" i="11" s="1"/>
  <c r="GB21" i="6"/>
  <c r="AL24" i="12"/>
  <c r="BB23" i="12"/>
  <c r="GL26" i="11" s="1"/>
  <c r="FA25" i="6"/>
  <c r="AD24" i="12"/>
  <c r="AS25" i="6"/>
  <c r="AT23" i="12"/>
  <c r="BF26" i="11" s="1"/>
  <c r="AF24" i="6"/>
  <c r="AG24" i="6"/>
  <c r="GZ22" i="11"/>
  <c r="BG24" i="11"/>
  <c r="AY23" i="6"/>
  <c r="BC23" i="6" s="1"/>
  <c r="AX23" i="6"/>
  <c r="BB23" i="6" s="1"/>
  <c r="AW23" i="6"/>
  <c r="BA23" i="6" s="1"/>
  <c r="AZ23" i="6"/>
  <c r="BD23" i="6" s="1"/>
  <c r="BC24" i="11" s="1"/>
  <c r="GD24" i="6"/>
  <c r="GE24" i="6"/>
  <c r="GK20" i="11"/>
  <c r="GQ20" i="11" s="1"/>
  <c r="AC24" i="12"/>
  <c r="AE25" i="6"/>
  <c r="AS23" i="12"/>
  <c r="AO26" i="11" s="1"/>
  <c r="DN23" i="6"/>
  <c r="DW23" i="11"/>
  <c r="DA22" i="6"/>
  <c r="DE22" i="6" s="1"/>
  <c r="DB22" i="6"/>
  <c r="DF22" i="6" s="1"/>
  <c r="DC22" i="6"/>
  <c r="DG22" i="6" s="1"/>
  <c r="DD22" i="6"/>
  <c r="DH22" i="6" s="1"/>
  <c r="CV20" i="6"/>
  <c r="CU20" i="6"/>
  <c r="Y23" i="11"/>
  <c r="U22" i="6"/>
  <c r="Y22" i="6" s="1"/>
  <c r="V22" i="6"/>
  <c r="W22" i="6"/>
  <c r="AA22" i="6" s="1"/>
  <c r="X22" i="6"/>
  <c r="AB22" i="6" s="1"/>
  <c r="FC24" i="6"/>
  <c r="FB24" i="6"/>
  <c r="DK19" i="11"/>
  <c r="AQ20" i="6"/>
  <c r="AR20" i="6"/>
  <c r="CS21" i="11"/>
  <c r="DW20" i="6"/>
  <c r="DX20" i="6"/>
  <c r="T23" i="6"/>
  <c r="CP23" i="6"/>
  <c r="CT23" i="6" s="1"/>
  <c r="DB24" i="11" s="1"/>
  <c r="DF24" i="11"/>
  <c r="CO23" i="6"/>
  <c r="CS23" i="6" s="1"/>
  <c r="CN23" i="6"/>
  <c r="CR23" i="6" s="1"/>
  <c r="CM23" i="6"/>
  <c r="CQ23" i="6" s="1"/>
  <c r="DB21" i="11"/>
  <c r="BS20" i="6"/>
  <c r="BT20" i="6"/>
  <c r="FH23" i="6"/>
  <c r="FL23" i="6" s="1"/>
  <c r="FF23" i="6"/>
  <c r="FJ23" i="6" s="1"/>
  <c r="FE23" i="6"/>
  <c r="FI23" i="6" s="1"/>
  <c r="GM24" i="11"/>
  <c r="FG23" i="6"/>
  <c r="FK23" i="6" s="1"/>
  <c r="EJ21" i="11"/>
  <c r="BH24" i="6"/>
  <c r="BI24" i="6"/>
  <c r="FN22" i="6"/>
  <c r="FM22" i="6"/>
  <c r="GK23" i="11" s="1"/>
  <c r="GQ23" i="11" s="1"/>
  <c r="GR23" i="11" s="1"/>
  <c r="AD18" i="11"/>
  <c r="AF24" i="12"/>
  <c r="BU25" i="6"/>
  <c r="AV23" i="12"/>
  <c r="CN26" i="11" s="1"/>
  <c r="HB20" i="11"/>
  <c r="AN24" i="12"/>
  <c r="GC25" i="6"/>
  <c r="BD23" i="12"/>
  <c r="HT26" i="11" s="1"/>
  <c r="AW23" i="12"/>
  <c r="DE26" i="11" s="1"/>
  <c r="CI25" i="6"/>
  <c r="EP23" i="6"/>
  <c r="BS22" i="6"/>
  <c r="BV23" i="11" s="1"/>
  <c r="CB23" i="11" s="1"/>
  <c r="CC23" i="11" s="1"/>
  <c r="BT22" i="6"/>
  <c r="DW21" i="6"/>
  <c r="EL22" i="11" s="1"/>
  <c r="ER22" i="11" s="1"/>
  <c r="ES22" i="11" s="1"/>
  <c r="DX21" i="6"/>
  <c r="AE24" i="12"/>
  <c r="BG25" i="6"/>
  <c r="AU23" i="12"/>
  <c r="BW26" i="11" s="1"/>
  <c r="BE21" i="11"/>
  <c r="BK21" i="11" s="1"/>
  <c r="HS20" i="11"/>
  <c r="EO24" i="6"/>
  <c r="EN24" i="6"/>
  <c r="CV21" i="6"/>
  <c r="CU21" i="6"/>
  <c r="DD22" i="11" s="1"/>
  <c r="DJ22" i="11" s="1"/>
  <c r="DK22" i="11" s="1"/>
  <c r="EU21" i="6"/>
  <c r="DM24" i="6"/>
  <c r="DL24" i="6"/>
  <c r="FT23" i="6"/>
  <c r="FX23" i="6" s="1"/>
  <c r="FS23" i="6"/>
  <c r="FW23" i="6" s="1"/>
  <c r="HD24" i="11"/>
  <c r="FU23" i="6"/>
  <c r="FY23" i="6" s="1"/>
  <c r="FV23" i="6"/>
  <c r="FZ23" i="6" s="1"/>
  <c r="GZ24" i="11" s="1"/>
  <c r="AJ24" i="12"/>
  <c r="AZ23" i="12"/>
  <c r="FD26" i="11" s="1"/>
  <c r="DY25" i="6"/>
  <c r="CZ23" i="6"/>
  <c r="BX23" i="6"/>
  <c r="EB23" i="6"/>
  <c r="EL20" i="6"/>
  <c r="EK20" i="6"/>
  <c r="HI19" i="11"/>
  <c r="AK24" i="12"/>
  <c r="EM25" i="6"/>
  <c r="BA23" i="12"/>
  <c r="FU26" i="11" s="1"/>
  <c r="EL21" i="6"/>
  <c r="EK21" i="6"/>
  <c r="FC22" i="11" s="1"/>
  <c r="FI22" i="11" s="1"/>
  <c r="FJ22" i="11" s="1"/>
  <c r="AU20" i="11"/>
  <c r="BW24" i="6"/>
  <c r="BV24" i="6"/>
  <c r="BX24" i="6" s="1"/>
  <c r="ED22" i="6"/>
  <c r="EH22" i="6" s="1"/>
  <c r="FE23" i="11"/>
  <c r="EC22" i="6"/>
  <c r="EG22" i="6" s="1"/>
  <c r="EF22" i="6"/>
  <c r="EJ22" i="6" s="1"/>
  <c r="FA23" i="11" s="1"/>
  <c r="EE22" i="6"/>
  <c r="EI22" i="6" s="1"/>
  <c r="CY24" i="6"/>
  <c r="CX24" i="6"/>
  <c r="AI24" i="12"/>
  <c r="AY23" i="12"/>
  <c r="EM26" i="11" s="1"/>
  <c r="DK25" i="6"/>
  <c r="FS22" i="6"/>
  <c r="FW22" i="6" s="1"/>
  <c r="HD23" i="11"/>
  <c r="FV22" i="6"/>
  <c r="FZ22" i="6" s="1"/>
  <c r="GZ23" i="11" s="1"/>
  <c r="FU22" i="6"/>
  <c r="FY22" i="6" s="1"/>
  <c r="FT22" i="6"/>
  <c r="FX22" i="6" s="1"/>
  <c r="AH23" i="6"/>
  <c r="BF22" i="6"/>
  <c r="BE22" i="6"/>
  <c r="BE23" i="11" s="1"/>
  <c r="BK23" i="11" s="1"/>
  <c r="BL23" i="11" s="1"/>
  <c r="CP22" i="6"/>
  <c r="CT22" i="6" s="1"/>
  <c r="DB23" i="11" s="1"/>
  <c r="DF23" i="11"/>
  <c r="CO22" i="6"/>
  <c r="CS22" i="6" s="1"/>
  <c r="CN22" i="6"/>
  <c r="CR22" i="6" s="1"/>
  <c r="CM22" i="6"/>
  <c r="CQ22" i="6" s="1"/>
  <c r="AP23" i="11"/>
  <c r="AJ22" i="6"/>
  <c r="AN22" i="6" s="1"/>
  <c r="AK22" i="6"/>
  <c r="AO22" i="6" s="1"/>
  <c r="AI22" i="6"/>
  <c r="AM22" i="6" s="1"/>
  <c r="AL22" i="6"/>
  <c r="AP22" i="6" s="1"/>
  <c r="AL23" i="11" s="1"/>
  <c r="CH21" i="6"/>
  <c r="CG21" i="6"/>
  <c r="CM22" i="11" s="1"/>
  <c r="CS22" i="11" s="1"/>
  <c r="CT22" i="11" s="1"/>
  <c r="EX21" i="6"/>
  <c r="R24" i="6"/>
  <c r="S24" i="6"/>
  <c r="FP24" i="6"/>
  <c r="FQ24" i="6"/>
  <c r="BE21" i="6"/>
  <c r="BE22" i="11" s="1"/>
  <c r="BF21" i="6"/>
  <c r="BT21" i="11"/>
  <c r="AT24" i="6"/>
  <c r="AU24" i="6"/>
  <c r="AH24" i="12"/>
  <c r="AX23" i="12"/>
  <c r="DV26" i="11" s="1"/>
  <c r="CW25" i="6"/>
  <c r="DZ24" i="6"/>
  <c r="EA24" i="6"/>
  <c r="AB24" i="12"/>
  <c r="Q25" i="6"/>
  <c r="AR23" i="12"/>
  <c r="X26" i="11" s="1"/>
  <c r="AM24" i="12"/>
  <c r="BC23" i="12"/>
  <c r="HC26" i="11" s="1"/>
  <c r="FO25" i="6"/>
  <c r="EQ22" i="6"/>
  <c r="EU22" i="6" s="1"/>
  <c r="ER22" i="6"/>
  <c r="EV22" i="6" s="1"/>
  <c r="ET22" i="6"/>
  <c r="EX22" i="6" s="1"/>
  <c r="FR23" i="11" s="1"/>
  <c r="FV23" i="11"/>
  <c r="ES22" i="6"/>
  <c r="EW22" i="6" s="1"/>
  <c r="FA21" i="11"/>
  <c r="BJ23" i="6"/>
  <c r="GI22" i="6"/>
  <c r="GG22" i="6"/>
  <c r="GK22" i="6" s="1"/>
  <c r="GJ22" i="6"/>
  <c r="GN22" i="6" s="1"/>
  <c r="HU23" i="11"/>
  <c r="GH22" i="6"/>
  <c r="GL22" i="6" s="1"/>
  <c r="I23" i="6"/>
  <c r="M23" i="6" s="1"/>
  <c r="C25" i="6"/>
  <c r="D25" i="6" s="1"/>
  <c r="AQ23" i="12"/>
  <c r="G26" i="11" s="1"/>
  <c r="IP20" i="11"/>
  <c r="AO24" i="12"/>
  <c r="GQ25" i="6"/>
  <c r="BE23" i="12"/>
  <c r="IK26" i="11" s="1"/>
  <c r="HC21" i="6"/>
  <c r="IJ22" i="11" s="1"/>
  <c r="IP22" i="11" s="1"/>
  <c r="IQ22" i="11" s="1"/>
  <c r="HD21" i="6"/>
  <c r="HD22" i="6"/>
  <c r="HC22" i="6"/>
  <c r="IJ23" i="11" s="1"/>
  <c r="IP23" i="11" s="1"/>
  <c r="IQ23" i="11" s="1"/>
  <c r="GR24" i="6"/>
  <c r="GS24" i="6"/>
  <c r="GT23" i="6"/>
  <c r="BG22" i="12"/>
  <c r="BH22" i="12"/>
  <c r="BI21" i="12"/>
  <c r="AG24" i="12"/>
  <c r="BF23" i="12"/>
  <c r="AA24" i="12"/>
  <c r="AP23" i="12"/>
  <c r="R25" i="12"/>
  <c r="DX22" i="6" l="1"/>
  <c r="CZ24" i="6"/>
  <c r="GI23" i="6"/>
  <c r="GM23" i="6" s="1"/>
  <c r="GG23" i="6"/>
  <c r="GK23" i="6" s="1"/>
  <c r="O23" i="6"/>
  <c r="F24" i="11" s="1"/>
  <c r="L24" i="11" s="1"/>
  <c r="M24" i="11" s="1"/>
  <c r="P23" i="6"/>
  <c r="EP24" i="6"/>
  <c r="HU24" i="11"/>
  <c r="E25" i="6"/>
  <c r="F25" i="6" s="1"/>
  <c r="GJ23" i="6"/>
  <c r="GN23" i="6" s="1"/>
  <c r="HQ24" i="11" s="1"/>
  <c r="DN24" i="6"/>
  <c r="DR24" i="6" s="1"/>
  <c r="DV24" i="6" s="1"/>
  <c r="EJ25" i="11" s="1"/>
  <c r="GR20" i="11"/>
  <c r="DA23" i="6"/>
  <c r="DE23" i="6" s="1"/>
  <c r="DW24" i="11"/>
  <c r="DD23" i="6"/>
  <c r="DH23" i="6" s="1"/>
  <c r="DS24" i="11" s="1"/>
  <c r="DC23" i="6"/>
  <c r="DG23" i="6" s="1"/>
  <c r="DB23" i="6"/>
  <c r="DF23" i="6" s="1"/>
  <c r="CK25" i="6"/>
  <c r="CJ25" i="6"/>
  <c r="BV21" i="11"/>
  <c r="CB21" i="11" s="1"/>
  <c r="AN21" i="11"/>
  <c r="AT21" i="11" s="1"/>
  <c r="AU21" i="11" s="1"/>
  <c r="DJ22" i="6"/>
  <c r="DI22" i="6"/>
  <c r="DU23" i="11" s="1"/>
  <c r="FR24" i="6"/>
  <c r="HH22" i="11"/>
  <c r="HI22" i="11" s="1"/>
  <c r="CG22" i="6"/>
  <c r="CM23" i="11" s="1"/>
  <c r="CS23" i="11" s="1"/>
  <c r="CT23" i="11" s="1"/>
  <c r="CH22" i="6"/>
  <c r="DZ25" i="6"/>
  <c r="EA25" i="6"/>
  <c r="EB25" i="6" s="1"/>
  <c r="AJ25" i="12"/>
  <c r="AZ24" i="12"/>
  <c r="FD27" i="11" s="1"/>
  <c r="DY26" i="6"/>
  <c r="GE25" i="6"/>
  <c r="GD25" i="6"/>
  <c r="BJ24" i="6"/>
  <c r="CU23" i="6"/>
  <c r="DD24" i="11" s="1"/>
  <c r="DJ24" i="11" s="1"/>
  <c r="DK24" i="11" s="1"/>
  <c r="CV23" i="6"/>
  <c r="DQ23" i="6"/>
  <c r="DU23" i="6" s="1"/>
  <c r="DP23" i="6"/>
  <c r="DT23" i="6" s="1"/>
  <c r="EN24" i="11"/>
  <c r="DR23" i="6"/>
  <c r="DV23" i="6" s="1"/>
  <c r="DO23" i="6"/>
  <c r="DS23" i="6" s="1"/>
  <c r="FV24" i="11"/>
  <c r="ER23" i="6"/>
  <c r="EV23" i="6" s="1"/>
  <c r="ES23" i="6"/>
  <c r="EW23" i="6" s="1"/>
  <c r="ET23" i="6"/>
  <c r="EX23" i="6" s="1"/>
  <c r="FR24" i="11" s="1"/>
  <c r="EQ23" i="6"/>
  <c r="EU23" i="6" s="1"/>
  <c r="AB25" i="12"/>
  <c r="Q26" i="6"/>
  <c r="AR24" i="12"/>
  <c r="X27" i="11" s="1"/>
  <c r="T24" i="6"/>
  <c r="AN25" i="12"/>
  <c r="BD24" i="12"/>
  <c r="HT27" i="11" s="1"/>
  <c r="GC26" i="6"/>
  <c r="FD24" i="6"/>
  <c r="AH24" i="6"/>
  <c r="HQ23" i="11"/>
  <c r="GO23" i="6"/>
  <c r="HS24" i="11" s="1"/>
  <c r="BL21" i="11"/>
  <c r="AG25" i="6"/>
  <c r="AF25" i="6"/>
  <c r="AH25" i="6" s="1"/>
  <c r="BK22" i="11"/>
  <c r="BL22" i="11" s="1"/>
  <c r="U23" i="11"/>
  <c r="AC25" i="12"/>
  <c r="AE26" i="6"/>
  <c r="AS24" i="12"/>
  <c r="AO27" i="11" s="1"/>
  <c r="AT25" i="6"/>
  <c r="AU25" i="6"/>
  <c r="FV25" i="11"/>
  <c r="EQ24" i="6"/>
  <c r="EU24" i="6" s="1"/>
  <c r="ER24" i="6"/>
  <c r="EV24" i="6" s="1"/>
  <c r="ET24" i="6"/>
  <c r="EX24" i="6" s="1"/>
  <c r="FR25" i="11" s="1"/>
  <c r="ES24" i="6"/>
  <c r="EW24" i="6" s="1"/>
  <c r="FR22" i="11"/>
  <c r="AK25" i="12"/>
  <c r="BA24" i="12"/>
  <c r="FU27" i="11" s="1"/>
  <c r="EM26" i="6"/>
  <c r="BI25" i="6"/>
  <c r="BH25" i="6"/>
  <c r="AD25" i="12"/>
  <c r="AT24" i="12"/>
  <c r="BF27" i="11" s="1"/>
  <c r="AS26" i="6"/>
  <c r="EB24" i="6"/>
  <c r="EN25" i="6"/>
  <c r="EO25" i="6"/>
  <c r="GA23" i="6"/>
  <c r="HB24" i="11" s="1"/>
  <c r="HH24" i="11" s="1"/>
  <c r="HI24" i="11" s="1"/>
  <c r="GB23" i="6"/>
  <c r="AE25" i="12"/>
  <c r="BG26" i="6"/>
  <c r="AU24" i="12"/>
  <c r="BW27" i="11" s="1"/>
  <c r="W23" i="6"/>
  <c r="AA23" i="6" s="1"/>
  <c r="X23" i="6"/>
  <c r="AB23" i="6" s="1"/>
  <c r="U24" i="11" s="1"/>
  <c r="U23" i="6"/>
  <c r="Y23" i="6" s="1"/>
  <c r="Y24" i="11"/>
  <c r="V23" i="6"/>
  <c r="Z23" i="6" s="1"/>
  <c r="Z22" i="6"/>
  <c r="AD22" i="6" s="1"/>
  <c r="FB25" i="6"/>
  <c r="FC25" i="6"/>
  <c r="CL24" i="6"/>
  <c r="AP24" i="11"/>
  <c r="AI23" i="6"/>
  <c r="AM23" i="6" s="1"/>
  <c r="AJ23" i="6"/>
  <c r="AN23" i="6" s="1"/>
  <c r="AK23" i="6"/>
  <c r="AO23" i="6" s="1"/>
  <c r="AL23" i="6"/>
  <c r="AP23" i="6" s="1"/>
  <c r="AL24" i="11" s="1"/>
  <c r="EL22" i="6"/>
  <c r="EK22" i="6"/>
  <c r="FC23" i="11" s="1"/>
  <c r="FI23" i="11" s="1"/>
  <c r="FJ23" i="11" s="1"/>
  <c r="HH20" i="11"/>
  <c r="CO25" i="11"/>
  <c r="BY24" i="6"/>
  <c r="CC24" i="6" s="1"/>
  <c r="BZ24" i="6"/>
  <c r="CD24" i="6" s="1"/>
  <c r="CA24" i="6"/>
  <c r="CE24" i="6" s="1"/>
  <c r="CB24" i="6"/>
  <c r="CF24" i="6" s="1"/>
  <c r="CK25" i="11" s="1"/>
  <c r="R25" i="6"/>
  <c r="S25" i="6"/>
  <c r="DB24" i="6"/>
  <c r="DF24" i="6" s="1"/>
  <c r="DA24" i="6"/>
  <c r="DE24" i="6" s="1"/>
  <c r="DW25" i="11"/>
  <c r="DC24" i="6"/>
  <c r="DG24" i="6" s="1"/>
  <c r="DD24" i="6"/>
  <c r="DH24" i="6" s="1"/>
  <c r="DS25" i="11" s="1"/>
  <c r="CI26" i="6"/>
  <c r="AW24" i="12"/>
  <c r="DE27" i="11" s="1"/>
  <c r="AH25" i="12"/>
  <c r="CW26" i="6"/>
  <c r="AX24" i="12"/>
  <c r="DV27" i="11" s="1"/>
  <c r="GA22" i="6"/>
  <c r="GB22" i="6"/>
  <c r="EN25" i="11"/>
  <c r="FM23" i="6"/>
  <c r="GK24" i="11" s="1"/>
  <c r="FN23" i="6"/>
  <c r="GF24" i="6"/>
  <c r="AL25" i="12"/>
  <c r="BB24" i="12"/>
  <c r="GL27" i="11" s="1"/>
  <c r="FA26" i="6"/>
  <c r="EY22" i="6"/>
  <c r="FT23" i="11" s="1"/>
  <c r="FZ23" i="11" s="1"/>
  <c r="GA23" i="11" s="1"/>
  <c r="EZ22" i="6"/>
  <c r="DM25" i="6"/>
  <c r="DL25" i="6"/>
  <c r="FC21" i="11"/>
  <c r="FI21" i="11" s="1"/>
  <c r="EL21" i="11"/>
  <c r="ER21" i="11" s="1"/>
  <c r="GM22" i="6"/>
  <c r="GO22" i="6" s="1"/>
  <c r="HS23" i="11" s="1"/>
  <c r="BM23" i="6"/>
  <c r="BQ23" i="6" s="1"/>
  <c r="BX24" i="11"/>
  <c r="BK23" i="6"/>
  <c r="BO23" i="6" s="1"/>
  <c r="BN23" i="6"/>
  <c r="BL23" i="6"/>
  <c r="BP23" i="6" s="1"/>
  <c r="CX25" i="6"/>
  <c r="CY25" i="6"/>
  <c r="AQ22" i="6"/>
  <c r="AN23" i="11" s="1"/>
  <c r="AT23" i="11" s="1"/>
  <c r="AU23" i="11" s="1"/>
  <c r="AR22" i="6"/>
  <c r="FQ25" i="6"/>
  <c r="FP25" i="6"/>
  <c r="FR25" i="6" s="1"/>
  <c r="BV25" i="6"/>
  <c r="BW25" i="6"/>
  <c r="BX25" i="6" s="1"/>
  <c r="GI24" i="11"/>
  <c r="DD21" i="11"/>
  <c r="DJ21" i="11" s="1"/>
  <c r="AV24" i="6"/>
  <c r="AI25" i="12"/>
  <c r="AY24" i="12"/>
  <c r="EM27" i="11" s="1"/>
  <c r="DK26" i="6"/>
  <c r="HY20" i="11"/>
  <c r="FE24" i="11"/>
  <c r="EC23" i="6"/>
  <c r="EG23" i="6" s="1"/>
  <c r="EF23" i="6"/>
  <c r="EJ23" i="6" s="1"/>
  <c r="ED23" i="6"/>
  <c r="EH23" i="6" s="1"/>
  <c r="EE23" i="6"/>
  <c r="EI23" i="6" s="1"/>
  <c r="EY21" i="6"/>
  <c r="EZ21" i="6"/>
  <c r="AF25" i="12"/>
  <c r="BU26" i="6"/>
  <c r="AV24" i="12"/>
  <c r="CN27" i="11" s="1"/>
  <c r="CT21" i="11"/>
  <c r="BE23" i="6"/>
  <c r="BE24" i="11" s="1"/>
  <c r="BK24" i="11" s="1"/>
  <c r="BL24" i="11" s="1"/>
  <c r="BF23" i="6"/>
  <c r="AM25" i="12"/>
  <c r="BC24" i="12"/>
  <c r="HC27" i="11" s="1"/>
  <c r="FO26" i="6"/>
  <c r="CV22" i="6"/>
  <c r="CU22" i="6"/>
  <c r="DD23" i="11" s="1"/>
  <c r="DJ23" i="11" s="1"/>
  <c r="DK23" i="11" s="1"/>
  <c r="CO24" i="11"/>
  <c r="BZ23" i="6"/>
  <c r="CD23" i="6" s="1"/>
  <c r="BY23" i="6"/>
  <c r="CC23" i="6" s="1"/>
  <c r="CA23" i="6"/>
  <c r="CE23" i="6" s="1"/>
  <c r="CB23" i="6"/>
  <c r="CF23" i="6" s="1"/>
  <c r="CK24" i="11" s="1"/>
  <c r="DS23" i="11"/>
  <c r="C26" i="6"/>
  <c r="E26" i="6" s="1"/>
  <c r="AQ24" i="12"/>
  <c r="G27" i="11" s="1"/>
  <c r="GX23" i="6"/>
  <c r="HB23" i="6" s="1"/>
  <c r="IH24" i="11" s="1"/>
  <c r="IL24" i="11"/>
  <c r="GW23" i="6"/>
  <c r="HA23" i="6" s="1"/>
  <c r="GV23" i="6"/>
  <c r="GZ23" i="6" s="1"/>
  <c r="GU23" i="6"/>
  <c r="GY23" i="6" s="1"/>
  <c r="GT24" i="6"/>
  <c r="GR25" i="6"/>
  <c r="GS25" i="6"/>
  <c r="GT25" i="6" s="1"/>
  <c r="AO25" i="12"/>
  <c r="GQ26" i="6"/>
  <c r="BE24" i="12"/>
  <c r="IK27" i="11" s="1"/>
  <c r="IQ20" i="11"/>
  <c r="BH23" i="12"/>
  <c r="BG23" i="12"/>
  <c r="I24" i="6"/>
  <c r="M24" i="6" s="1"/>
  <c r="J24" i="6"/>
  <c r="N24" i="6" s="1"/>
  <c r="D25" i="11" s="1"/>
  <c r="H24" i="6"/>
  <c r="L24" i="6" s="1"/>
  <c r="G24" i="6"/>
  <c r="K24" i="6" s="1"/>
  <c r="BI22" i="12"/>
  <c r="AG25" i="12"/>
  <c r="BF24" i="12"/>
  <c r="AA25" i="12"/>
  <c r="AP24" i="12"/>
  <c r="R26" i="12"/>
  <c r="HY24" i="11" l="1"/>
  <c r="HZ24" i="11" s="1"/>
  <c r="GP23" i="6"/>
  <c r="DO24" i="6"/>
  <c r="DS24" i="6" s="1"/>
  <c r="DQ24" i="6"/>
  <c r="DU24" i="6" s="1"/>
  <c r="DP24" i="6"/>
  <c r="DT24" i="6" s="1"/>
  <c r="CL25" i="6"/>
  <c r="BI23" i="12"/>
  <c r="BJ25" i="6"/>
  <c r="BN25" i="6" s="1"/>
  <c r="BR25" i="6" s="1"/>
  <c r="BT26" i="11" s="1"/>
  <c r="GQ24" i="11"/>
  <c r="GR24" i="11" s="1"/>
  <c r="H26" i="11"/>
  <c r="I25" i="6"/>
  <c r="M25" i="6" s="1"/>
  <c r="J25" i="6"/>
  <c r="N25" i="6" s="1"/>
  <c r="D26" i="11" s="1"/>
  <c r="H25" i="6"/>
  <c r="L25" i="6" s="1"/>
  <c r="G25" i="6"/>
  <c r="K25" i="6" s="1"/>
  <c r="D26" i="6"/>
  <c r="F26" i="6" s="1"/>
  <c r="H27" i="11" s="1"/>
  <c r="CC21" i="11"/>
  <c r="ES21" i="11"/>
  <c r="DK21" i="11"/>
  <c r="FJ21" i="11"/>
  <c r="BR23" i="6"/>
  <c r="BT23" i="6" s="1"/>
  <c r="AC22" i="6"/>
  <c r="W23" i="11" s="1"/>
  <c r="S26" i="6"/>
  <c r="R26" i="6"/>
  <c r="T26" i="6" s="1"/>
  <c r="GF25" i="6"/>
  <c r="CJ26" i="6"/>
  <c r="CK26" i="6"/>
  <c r="HI20" i="11"/>
  <c r="EY24" i="6"/>
  <c r="FT25" i="11" s="1"/>
  <c r="EZ24" i="6"/>
  <c r="AB26" i="12"/>
  <c r="AR25" i="12"/>
  <c r="X28" i="11" s="1"/>
  <c r="Q27" i="6"/>
  <c r="FB26" i="6"/>
  <c r="FC26" i="6"/>
  <c r="FT22" i="11"/>
  <c r="FZ22" i="11" s="1"/>
  <c r="AL26" i="12"/>
  <c r="FA27" i="6"/>
  <c r="BB25" i="12"/>
  <c r="GL28" i="11" s="1"/>
  <c r="AD23" i="6"/>
  <c r="AC23" i="6"/>
  <c r="W24" i="11" s="1"/>
  <c r="AC24" i="11" s="1"/>
  <c r="AD24" i="11" s="1"/>
  <c r="AD26" i="12"/>
  <c r="AS27" i="6"/>
  <c r="AT25" i="12"/>
  <c r="BF28" i="11" s="1"/>
  <c r="EY23" i="6"/>
  <c r="FT24" i="11" s="1"/>
  <c r="FZ24" i="11" s="1"/>
  <c r="GA24" i="11" s="1"/>
  <c r="EZ23" i="6"/>
  <c r="EA26" i="6"/>
  <c r="DZ26" i="6"/>
  <c r="FZ25" i="11"/>
  <c r="GA25" i="11" s="1"/>
  <c r="HU25" i="11"/>
  <c r="GI24" i="6"/>
  <c r="GM24" i="6" s="1"/>
  <c r="GG24" i="6"/>
  <c r="GK24" i="6" s="1"/>
  <c r="GJ24" i="6"/>
  <c r="GN24" i="6" s="1"/>
  <c r="GH24" i="6"/>
  <c r="GL24" i="6" s="1"/>
  <c r="AU26" i="6"/>
  <c r="AT26" i="6"/>
  <c r="AV25" i="6"/>
  <c r="HY23" i="11"/>
  <c r="HZ23" i="11" s="1"/>
  <c r="AJ26" i="12"/>
  <c r="DY27" i="6"/>
  <c r="AZ25" i="12"/>
  <c r="FD28" i="11" s="1"/>
  <c r="FP26" i="6"/>
  <c r="FQ26" i="6"/>
  <c r="AL24" i="6"/>
  <c r="AP24" i="6" s="1"/>
  <c r="AL25" i="11" s="1"/>
  <c r="AP25" i="11"/>
  <c r="AJ24" i="6"/>
  <c r="AN24" i="6" s="1"/>
  <c r="AI24" i="6"/>
  <c r="AM24" i="6" s="1"/>
  <c r="AK24" i="6"/>
  <c r="AO24" i="6" s="1"/>
  <c r="FE26" i="11"/>
  <c r="EC25" i="6"/>
  <c r="EG25" i="6" s="1"/>
  <c r="EF25" i="6"/>
  <c r="EJ25" i="6" s="1"/>
  <c r="FA26" i="11" s="1"/>
  <c r="ED25" i="6"/>
  <c r="EH25" i="6" s="1"/>
  <c r="EE25" i="6"/>
  <c r="EI25" i="6" s="1"/>
  <c r="CO25" i="6"/>
  <c r="CS25" i="6" s="1"/>
  <c r="CP25" i="6"/>
  <c r="CT25" i="6" s="1"/>
  <c r="DB26" i="11" s="1"/>
  <c r="CN25" i="6"/>
  <c r="CR25" i="6" s="1"/>
  <c r="CM25" i="6"/>
  <c r="CQ25" i="6" s="1"/>
  <c r="DF26" i="11"/>
  <c r="CO26" i="11"/>
  <c r="BY25" i="6"/>
  <c r="CC25" i="6" s="1"/>
  <c r="BZ25" i="6"/>
  <c r="CD25" i="6" s="1"/>
  <c r="CA25" i="6"/>
  <c r="CE25" i="6" s="1"/>
  <c r="CB25" i="6"/>
  <c r="CF25" i="6" s="1"/>
  <c r="CK26" i="11" s="1"/>
  <c r="EL23" i="6"/>
  <c r="EK23" i="6"/>
  <c r="FC24" i="11" s="1"/>
  <c r="BH26" i="6"/>
  <c r="BI26" i="6"/>
  <c r="AG26" i="6"/>
  <c r="AF26" i="6"/>
  <c r="AH26" i="6" s="1"/>
  <c r="GM25" i="11"/>
  <c r="FE24" i="6"/>
  <c r="FI24" i="6" s="1"/>
  <c r="FF24" i="6"/>
  <c r="FJ24" i="6" s="1"/>
  <c r="FG24" i="6"/>
  <c r="FK24" i="6" s="1"/>
  <c r="FH24" i="6"/>
  <c r="FL24" i="6" s="1"/>
  <c r="GI25" i="11" s="1"/>
  <c r="AE26" i="12"/>
  <c r="BG27" i="6"/>
  <c r="AU25" i="12"/>
  <c r="BW28" i="11" s="1"/>
  <c r="AC26" i="12"/>
  <c r="AE27" i="6"/>
  <c r="AS25" i="12"/>
  <c r="AO28" i="11" s="1"/>
  <c r="GD26" i="6"/>
  <c r="GE26" i="6"/>
  <c r="GF26" i="6" s="1"/>
  <c r="DW23" i="6"/>
  <c r="DX23" i="6"/>
  <c r="CH23" i="6"/>
  <c r="CG23" i="6"/>
  <c r="CM24" i="11" s="1"/>
  <c r="CS24" i="11" s="1"/>
  <c r="FA24" i="11"/>
  <c r="T25" i="6"/>
  <c r="EJ24" i="11"/>
  <c r="AH26" i="12"/>
  <c r="CW27" i="6"/>
  <c r="AX25" i="12"/>
  <c r="DV28" i="11" s="1"/>
  <c r="BS23" i="6"/>
  <c r="BV24" i="11" s="1"/>
  <c r="AM26" i="12"/>
  <c r="BC25" i="12"/>
  <c r="HC28" i="11" s="1"/>
  <c r="FO27" i="6"/>
  <c r="HD26" i="11"/>
  <c r="FS25" i="6"/>
  <c r="FW25" i="6" s="1"/>
  <c r="FT25" i="6"/>
  <c r="FX25" i="6" s="1"/>
  <c r="FU25" i="6"/>
  <c r="FY25" i="6" s="1"/>
  <c r="FV25" i="6"/>
  <c r="FZ25" i="6" s="1"/>
  <c r="GZ26" i="11" s="1"/>
  <c r="DX24" i="6"/>
  <c r="DW24" i="6"/>
  <c r="EL25" i="11" s="1"/>
  <c r="ER25" i="11" s="1"/>
  <c r="ES25" i="11" s="1"/>
  <c r="AQ23" i="6"/>
  <c r="AN24" i="11" s="1"/>
  <c r="AT24" i="11" s="1"/>
  <c r="AU24" i="11" s="1"/>
  <c r="AR23" i="6"/>
  <c r="EO26" i="6"/>
  <c r="EN26" i="6"/>
  <c r="AN26" i="12"/>
  <c r="BD25" i="12"/>
  <c r="HT28" i="11" s="1"/>
  <c r="GC27" i="6"/>
  <c r="HZ20" i="11"/>
  <c r="DN25" i="6"/>
  <c r="CI27" i="6"/>
  <c r="AW25" i="12"/>
  <c r="DE28" i="11" s="1"/>
  <c r="EA23" i="11"/>
  <c r="AI26" i="12"/>
  <c r="DK27" i="6"/>
  <c r="AY25" i="12"/>
  <c r="EM28" i="11" s="1"/>
  <c r="CO24" i="6"/>
  <c r="CS24" i="6" s="1"/>
  <c r="CN24" i="6"/>
  <c r="CR24" i="6" s="1"/>
  <c r="CM24" i="6"/>
  <c r="CQ24" i="6" s="1"/>
  <c r="DF25" i="11"/>
  <c r="CP24" i="6"/>
  <c r="CT24" i="6" s="1"/>
  <c r="DB25" i="11" s="1"/>
  <c r="AK26" i="12"/>
  <c r="EM27" i="6"/>
  <c r="BA25" i="12"/>
  <c r="FU28" i="11" s="1"/>
  <c r="W24" i="6"/>
  <c r="AA24" i="6" s="1"/>
  <c r="X24" i="6"/>
  <c r="AB24" i="6" s="1"/>
  <c r="U25" i="11" s="1"/>
  <c r="U24" i="6"/>
  <c r="Y24" i="6" s="1"/>
  <c r="V24" i="6"/>
  <c r="Z24" i="6" s="1"/>
  <c r="Y25" i="11"/>
  <c r="DI23" i="6"/>
  <c r="DU24" i="11" s="1"/>
  <c r="EA24" i="11" s="1"/>
  <c r="EB24" i="11" s="1"/>
  <c r="DJ23" i="6"/>
  <c r="DM26" i="6"/>
  <c r="DL26" i="6"/>
  <c r="DN26" i="6" s="1"/>
  <c r="HB23" i="11"/>
  <c r="HH23" i="11" s="1"/>
  <c r="HI23" i="11" s="1"/>
  <c r="CH24" i="6"/>
  <c r="CG24" i="6"/>
  <c r="CM25" i="11" s="1"/>
  <c r="CS25" i="11" s="1"/>
  <c r="CT25" i="11" s="1"/>
  <c r="HD25" i="11"/>
  <c r="FV24" i="6"/>
  <c r="FZ24" i="6" s="1"/>
  <c r="GZ25" i="11" s="1"/>
  <c r="FU24" i="6"/>
  <c r="FY24" i="6" s="1"/>
  <c r="FS24" i="6"/>
  <c r="FW24" i="6" s="1"/>
  <c r="FT24" i="6"/>
  <c r="FX24" i="6" s="1"/>
  <c r="AF26" i="12"/>
  <c r="AV25" i="12"/>
  <c r="CN28" i="11" s="1"/>
  <c r="BU27" i="6"/>
  <c r="AZ24" i="6"/>
  <c r="BD24" i="6" s="1"/>
  <c r="BC25" i="11" s="1"/>
  <c r="AW24" i="6"/>
  <c r="BA24" i="6" s="1"/>
  <c r="BG25" i="11"/>
  <c r="AY24" i="6"/>
  <c r="BC24" i="6" s="1"/>
  <c r="AX24" i="6"/>
  <c r="BB24" i="6" s="1"/>
  <c r="CZ25" i="6"/>
  <c r="FD25" i="6"/>
  <c r="EP25" i="6"/>
  <c r="AP26" i="11"/>
  <c r="AI25" i="6"/>
  <c r="AM25" i="6" s="1"/>
  <c r="AJ25" i="6"/>
  <c r="AN25" i="6" s="1"/>
  <c r="AK25" i="6"/>
  <c r="AO25" i="6" s="1"/>
  <c r="AL25" i="6"/>
  <c r="AP25" i="6" s="1"/>
  <c r="AL26" i="11" s="1"/>
  <c r="GP22" i="6"/>
  <c r="DJ24" i="6"/>
  <c r="DI24" i="6"/>
  <c r="DU25" i="11" s="1"/>
  <c r="EA25" i="11" s="1"/>
  <c r="EB25" i="11" s="1"/>
  <c r="BW26" i="6"/>
  <c r="BV26" i="6"/>
  <c r="BX26" i="6" s="1"/>
  <c r="CX26" i="6"/>
  <c r="CY26" i="6"/>
  <c r="FE25" i="11"/>
  <c r="EC24" i="6"/>
  <c r="EG24" i="6" s="1"/>
  <c r="EE24" i="6"/>
  <c r="EI24" i="6" s="1"/>
  <c r="EF24" i="6"/>
  <c r="EJ24" i="6" s="1"/>
  <c r="FA25" i="11" s="1"/>
  <c r="ED24" i="6"/>
  <c r="EH24" i="6" s="1"/>
  <c r="BX25" i="11"/>
  <c r="BK24" i="6"/>
  <c r="BO24" i="6" s="1"/>
  <c r="BM24" i="6"/>
  <c r="BQ24" i="6" s="1"/>
  <c r="BL24" i="6"/>
  <c r="BP24" i="6" s="1"/>
  <c r="BN24" i="6"/>
  <c r="BR24" i="6" s="1"/>
  <c r="BT25" i="11" s="1"/>
  <c r="C27" i="6"/>
  <c r="D27" i="6" s="1"/>
  <c r="AQ25" i="12"/>
  <c r="G28" i="11" s="1"/>
  <c r="GS26" i="6"/>
  <c r="GR26" i="6"/>
  <c r="GT26" i="6" s="1"/>
  <c r="IL25" i="11"/>
  <c r="GU24" i="6"/>
  <c r="GY24" i="6" s="1"/>
  <c r="GX24" i="6"/>
  <c r="HB24" i="6" s="1"/>
  <c r="IH25" i="11" s="1"/>
  <c r="GW24" i="6"/>
  <c r="HA24" i="6" s="1"/>
  <c r="GV24" i="6"/>
  <c r="GZ24" i="6" s="1"/>
  <c r="IL26" i="11"/>
  <c r="GV25" i="6"/>
  <c r="GZ25" i="6" s="1"/>
  <c r="GX25" i="6"/>
  <c r="HB25" i="6" s="1"/>
  <c r="IH26" i="11" s="1"/>
  <c r="GW25" i="6"/>
  <c r="HA25" i="6" s="1"/>
  <c r="GU25" i="6"/>
  <c r="GY25" i="6" s="1"/>
  <c r="HC23" i="6"/>
  <c r="IJ24" i="11" s="1"/>
  <c r="IP24" i="11" s="1"/>
  <c r="HD23" i="6"/>
  <c r="AO26" i="12"/>
  <c r="BE25" i="12"/>
  <c r="IK28" i="11" s="1"/>
  <c r="GQ27" i="6"/>
  <c r="O24" i="6"/>
  <c r="F25" i="11" s="1"/>
  <c r="L25" i="11" s="1"/>
  <c r="M25" i="11" s="1"/>
  <c r="P24" i="6"/>
  <c r="BG24" i="12"/>
  <c r="BH24" i="12"/>
  <c r="AG26" i="12"/>
  <c r="BF25" i="12"/>
  <c r="AA26" i="12"/>
  <c r="AP25" i="12"/>
  <c r="R27" i="12"/>
  <c r="BM25" i="6" l="1"/>
  <c r="BQ25" i="6" s="1"/>
  <c r="BL25" i="6"/>
  <c r="BP25" i="6" s="1"/>
  <c r="BK25" i="6"/>
  <c r="BO25" i="6" s="1"/>
  <c r="FD26" i="6"/>
  <c r="GM27" i="11" s="1"/>
  <c r="O25" i="6"/>
  <c r="F26" i="11" s="1"/>
  <c r="L26" i="11" s="1"/>
  <c r="M26" i="11" s="1"/>
  <c r="BX26" i="11"/>
  <c r="P25" i="6"/>
  <c r="E27" i="6"/>
  <c r="F27" i="6" s="1"/>
  <c r="CT24" i="11"/>
  <c r="EL24" i="6"/>
  <c r="EK24" i="6"/>
  <c r="FC25" i="11" s="1"/>
  <c r="FI25" i="11" s="1"/>
  <c r="FJ25" i="11" s="1"/>
  <c r="CL26" i="6"/>
  <c r="GB24" i="6"/>
  <c r="GA24" i="6"/>
  <c r="HB25" i="11" s="1"/>
  <c r="HH25" i="11" s="1"/>
  <c r="HU26" i="11"/>
  <c r="GJ25" i="6"/>
  <c r="GN25" i="6" s="1"/>
  <c r="HQ26" i="11" s="1"/>
  <c r="GH25" i="6"/>
  <c r="GL25" i="6" s="1"/>
  <c r="GG25" i="6"/>
  <c r="GK25" i="6" s="1"/>
  <c r="GI25" i="6"/>
  <c r="GM25" i="6" s="1"/>
  <c r="AC24" i="6"/>
  <c r="W25" i="11" s="1"/>
  <c r="AC25" i="11" s="1"/>
  <c r="AD25" i="11" s="1"/>
  <c r="AD24" i="6"/>
  <c r="Y26" i="11"/>
  <c r="U25" i="6"/>
  <c r="Y25" i="6" s="1"/>
  <c r="V25" i="6"/>
  <c r="Z25" i="6" s="1"/>
  <c r="W25" i="6"/>
  <c r="AA25" i="6" s="1"/>
  <c r="X25" i="6"/>
  <c r="AB25" i="6" s="1"/>
  <c r="U26" i="11" s="1"/>
  <c r="EN26" i="11"/>
  <c r="DP25" i="6"/>
  <c r="DT25" i="6" s="1"/>
  <c r="DO25" i="6"/>
  <c r="DS25" i="6" s="1"/>
  <c r="DQ25" i="6"/>
  <c r="DU25" i="6" s="1"/>
  <c r="DR25" i="6"/>
  <c r="DV25" i="6" s="1"/>
  <c r="AQ24" i="6"/>
  <c r="AN25" i="11" s="1"/>
  <c r="AT25" i="11" s="1"/>
  <c r="AU25" i="11" s="1"/>
  <c r="AR24" i="6"/>
  <c r="HQ25" i="11"/>
  <c r="FC27" i="6"/>
  <c r="FB27" i="6"/>
  <c r="V26" i="6"/>
  <c r="Z26" i="6" s="1"/>
  <c r="X26" i="6"/>
  <c r="AB26" i="6" s="1"/>
  <c r="U27" i="11" s="1"/>
  <c r="Y27" i="11"/>
  <c r="U26" i="6"/>
  <c r="Y26" i="6" s="1"/>
  <c r="W26" i="6"/>
  <c r="AA26" i="6" s="1"/>
  <c r="FI24" i="11"/>
  <c r="GP24" i="6"/>
  <c r="GO24" i="6"/>
  <c r="HS25" i="11" s="1"/>
  <c r="AL27" i="12"/>
  <c r="FA28" i="6"/>
  <c r="BB26" i="12"/>
  <c r="GL29" i="11" s="1"/>
  <c r="EB23" i="11"/>
  <c r="AK27" i="12"/>
  <c r="EM28" i="6"/>
  <c r="BA26" i="12"/>
  <c r="FU29" i="11" s="1"/>
  <c r="GA25" i="6"/>
  <c r="HB26" i="11" s="1"/>
  <c r="HH26" i="11" s="1"/>
  <c r="HI26" i="11" s="1"/>
  <c r="GB25" i="6"/>
  <c r="BI27" i="6"/>
  <c r="BH27" i="6"/>
  <c r="AC23" i="11"/>
  <c r="AE27" i="12"/>
  <c r="AU26" i="12"/>
  <c r="BW29" i="11" s="1"/>
  <c r="BG28" i="6"/>
  <c r="CH25" i="6"/>
  <c r="CG25" i="6"/>
  <c r="CM26" i="11" s="1"/>
  <c r="CS26" i="11" s="1"/>
  <c r="CT26" i="11" s="1"/>
  <c r="EK25" i="6"/>
  <c r="FC26" i="11" s="1"/>
  <c r="FI26" i="11" s="1"/>
  <c r="FJ26" i="11" s="1"/>
  <c r="EL25" i="6"/>
  <c r="FQ27" i="6"/>
  <c r="FP27" i="6"/>
  <c r="FF26" i="6"/>
  <c r="FJ26" i="6" s="1"/>
  <c r="FG26" i="6"/>
  <c r="FK26" i="6" s="1"/>
  <c r="FH26" i="6"/>
  <c r="FL26" i="6" s="1"/>
  <c r="GI27" i="11" s="1"/>
  <c r="FE26" i="6"/>
  <c r="FI26" i="6" s="1"/>
  <c r="BT24" i="11"/>
  <c r="CB24" i="11" s="1"/>
  <c r="CJ27" i="6"/>
  <c r="CK27" i="6"/>
  <c r="CI28" i="6"/>
  <c r="AW26" i="12"/>
  <c r="DE29" i="11" s="1"/>
  <c r="CU24" i="6"/>
  <c r="DD25" i="11" s="1"/>
  <c r="DJ25" i="11" s="1"/>
  <c r="DK25" i="11" s="1"/>
  <c r="CV24" i="6"/>
  <c r="GE27" i="6"/>
  <c r="GD27" i="6"/>
  <c r="FR26" i="6"/>
  <c r="EB26" i="6"/>
  <c r="FE25" i="6"/>
  <c r="FI25" i="6" s="1"/>
  <c r="FF25" i="6"/>
  <c r="FJ25" i="6" s="1"/>
  <c r="FG25" i="6"/>
  <c r="FK25" i="6" s="1"/>
  <c r="FH25" i="6"/>
  <c r="FL25" i="6" s="1"/>
  <c r="GI26" i="11" s="1"/>
  <c r="GM26" i="11"/>
  <c r="AM27" i="12"/>
  <c r="FO28" i="6"/>
  <c r="BC26" i="12"/>
  <c r="HC29" i="11" s="1"/>
  <c r="EL24" i="11"/>
  <c r="ER24" i="11" s="1"/>
  <c r="CU25" i="6"/>
  <c r="DD26" i="11" s="1"/>
  <c r="DJ26" i="11" s="1"/>
  <c r="DK26" i="11" s="1"/>
  <c r="CV25" i="6"/>
  <c r="S27" i="6"/>
  <c r="R27" i="6"/>
  <c r="T27" i="6" s="1"/>
  <c r="FV26" i="11"/>
  <c r="ER25" i="6"/>
  <c r="EV25" i="6" s="1"/>
  <c r="ES25" i="6"/>
  <c r="EW25" i="6" s="1"/>
  <c r="ET25" i="6"/>
  <c r="EX25" i="6" s="1"/>
  <c r="FR26" i="11" s="1"/>
  <c r="EQ25" i="6"/>
  <c r="EU25" i="6" s="1"/>
  <c r="DW26" i="11"/>
  <c r="DD25" i="6"/>
  <c r="DH25" i="6" s="1"/>
  <c r="DS26" i="11" s="1"/>
  <c r="DC25" i="6"/>
  <c r="DG25" i="6" s="1"/>
  <c r="DB25" i="6"/>
  <c r="DF25" i="6" s="1"/>
  <c r="DA25" i="6"/>
  <c r="DE25" i="6" s="1"/>
  <c r="AN27" i="12"/>
  <c r="BD26" i="12"/>
  <c r="HT29" i="11" s="1"/>
  <c r="GC28" i="6"/>
  <c r="GI26" i="6"/>
  <c r="GM26" i="6" s="1"/>
  <c r="GH26" i="6"/>
  <c r="GL26" i="6" s="1"/>
  <c r="HU27" i="11"/>
  <c r="GJ26" i="6"/>
  <c r="GN26" i="6" s="1"/>
  <c r="HQ27" i="11" s="1"/>
  <c r="GG26" i="6"/>
  <c r="GK26" i="6" s="1"/>
  <c r="FM24" i="6"/>
  <c r="GK25" i="11" s="1"/>
  <c r="GQ25" i="11" s="1"/>
  <c r="FN24" i="6"/>
  <c r="DZ27" i="6"/>
  <c r="EA27" i="6"/>
  <c r="CZ26" i="6"/>
  <c r="AJ27" i="12"/>
  <c r="DY28" i="6"/>
  <c r="AZ26" i="12"/>
  <c r="FD29" i="11" s="1"/>
  <c r="AB27" i="12"/>
  <c r="AR26" i="12"/>
  <c r="X29" i="11" s="1"/>
  <c r="Q28" i="6"/>
  <c r="GA22" i="11"/>
  <c r="BE24" i="6"/>
  <c r="BE25" i="11" s="1"/>
  <c r="BK25" i="11" s="1"/>
  <c r="BF24" i="6"/>
  <c r="DR26" i="6"/>
  <c r="DV26" i="6" s="1"/>
  <c r="EJ27" i="11" s="1"/>
  <c r="DO26" i="6"/>
  <c r="DS26" i="6" s="1"/>
  <c r="DP26" i="6"/>
  <c r="DT26" i="6" s="1"/>
  <c r="EN27" i="11"/>
  <c r="DQ26" i="6"/>
  <c r="DU26" i="6" s="1"/>
  <c r="BW27" i="6"/>
  <c r="BV27" i="6"/>
  <c r="BX27" i="6" s="1"/>
  <c r="DM27" i="6"/>
  <c r="DL27" i="6"/>
  <c r="EP26" i="6"/>
  <c r="AJ26" i="6"/>
  <c r="AN26" i="6" s="1"/>
  <c r="AK26" i="6"/>
  <c r="AO26" i="6" s="1"/>
  <c r="AL26" i="6"/>
  <c r="AP26" i="6" s="1"/>
  <c r="AL27" i="11" s="1"/>
  <c r="AI26" i="6"/>
  <c r="AM26" i="6" s="1"/>
  <c r="AR26" i="6" s="1"/>
  <c r="AP27" i="11"/>
  <c r="CO27" i="11"/>
  <c r="BY26" i="6"/>
  <c r="CC26" i="6" s="1"/>
  <c r="BZ26" i="6"/>
  <c r="CD26" i="6" s="1"/>
  <c r="CA26" i="6"/>
  <c r="CE26" i="6" s="1"/>
  <c r="CB26" i="6"/>
  <c r="CF26" i="6" s="1"/>
  <c r="CK27" i="11" s="1"/>
  <c r="AI27" i="12"/>
  <c r="AY26" i="12"/>
  <c r="EM29" i="11" s="1"/>
  <c r="DK28" i="6"/>
  <c r="CY27" i="6"/>
  <c r="CX27" i="6"/>
  <c r="AG27" i="6"/>
  <c r="AF27" i="6"/>
  <c r="AT27" i="6"/>
  <c r="AU27" i="6"/>
  <c r="J26" i="6"/>
  <c r="N26" i="6" s="1"/>
  <c r="D27" i="11" s="1"/>
  <c r="BS24" i="6"/>
  <c r="BV25" i="11" s="1"/>
  <c r="CB25" i="11" s="1"/>
  <c r="CC25" i="11" s="1"/>
  <c r="BT24" i="6"/>
  <c r="I26" i="6"/>
  <c r="M26" i="6" s="1"/>
  <c r="H26" i="6"/>
  <c r="L26" i="6" s="1"/>
  <c r="AF27" i="12"/>
  <c r="AV26" i="12"/>
  <c r="CN29" i="11" s="1"/>
  <c r="BU28" i="6"/>
  <c r="AH27" i="12"/>
  <c r="CW28" i="6"/>
  <c r="AX26" i="12"/>
  <c r="DV29" i="11" s="1"/>
  <c r="AC27" i="12"/>
  <c r="AS26" i="12"/>
  <c r="AO29" i="11" s="1"/>
  <c r="AE28" i="6"/>
  <c r="BJ26" i="6"/>
  <c r="BG26" i="11"/>
  <c r="AY25" i="6"/>
  <c r="BC25" i="6" s="1"/>
  <c r="AZ25" i="6"/>
  <c r="BD25" i="6" s="1"/>
  <c r="BC26" i="11" s="1"/>
  <c r="AX25" i="6"/>
  <c r="BB25" i="6" s="1"/>
  <c r="AW25" i="6"/>
  <c r="BA25" i="6" s="1"/>
  <c r="AD27" i="12"/>
  <c r="AS28" i="6"/>
  <c r="AT26" i="12"/>
  <c r="BF29" i="11" s="1"/>
  <c r="EN27" i="6"/>
  <c r="EO27" i="6"/>
  <c r="G26" i="6"/>
  <c r="K26" i="6" s="1"/>
  <c r="AQ25" i="6"/>
  <c r="AN26" i="11" s="1"/>
  <c r="AT26" i="11" s="1"/>
  <c r="AU26" i="11" s="1"/>
  <c r="AR25" i="6"/>
  <c r="BS25" i="6"/>
  <c r="BV26" i="11" s="1"/>
  <c r="CB26" i="11" s="1"/>
  <c r="CC26" i="11" s="1"/>
  <c r="BT25" i="6"/>
  <c r="AV26" i="6"/>
  <c r="C28" i="6"/>
  <c r="E28" i="6" s="1"/>
  <c r="AQ26" i="12"/>
  <c r="G29" i="11" s="1"/>
  <c r="IQ24" i="11"/>
  <c r="AO27" i="12"/>
  <c r="BE26" i="12"/>
  <c r="IK29" i="11" s="1"/>
  <c r="GQ28" i="6"/>
  <c r="HC25" i="6"/>
  <c r="IJ26" i="11" s="1"/>
  <c r="IP26" i="11" s="1"/>
  <c r="IQ26" i="11" s="1"/>
  <c r="HD25" i="6"/>
  <c r="HD24" i="6"/>
  <c r="HC24" i="6"/>
  <c r="IJ25" i="11" s="1"/>
  <c r="IP25" i="11" s="1"/>
  <c r="IQ25" i="11" s="1"/>
  <c r="IL27" i="11"/>
  <c r="GU26" i="6"/>
  <c r="GY26" i="6" s="1"/>
  <c r="GV26" i="6"/>
  <c r="GZ26" i="6" s="1"/>
  <c r="GW26" i="6"/>
  <c r="HA26" i="6" s="1"/>
  <c r="GX26" i="6"/>
  <c r="HB26" i="6" s="1"/>
  <c r="IH27" i="11" s="1"/>
  <c r="GR27" i="6"/>
  <c r="GS27" i="6"/>
  <c r="BI24" i="12"/>
  <c r="BG25" i="12"/>
  <c r="BH25" i="12"/>
  <c r="AG27" i="12"/>
  <c r="BF26" i="12"/>
  <c r="AA27" i="12"/>
  <c r="AP26" i="12"/>
  <c r="R28" i="12"/>
  <c r="GF27" i="6" l="1"/>
  <c r="HY25" i="11"/>
  <c r="HZ25" i="11" s="1"/>
  <c r="FR27" i="6"/>
  <c r="EB27" i="6"/>
  <c r="H28" i="11"/>
  <c r="I27" i="6"/>
  <c r="M27" i="6" s="1"/>
  <c r="G27" i="6"/>
  <c r="K27" i="6" s="1"/>
  <c r="H27" i="6"/>
  <c r="L27" i="6" s="1"/>
  <c r="J27" i="6"/>
  <c r="N27" i="6" s="1"/>
  <c r="D28" i="11" s="1"/>
  <c r="AH27" i="6"/>
  <c r="AK27" i="6" s="1"/>
  <c r="AO27" i="6" s="1"/>
  <c r="P26" i="6"/>
  <c r="CZ27" i="6"/>
  <c r="DC27" i="6" s="1"/>
  <c r="DG27" i="6" s="1"/>
  <c r="BJ27" i="6"/>
  <c r="BN27" i="6" s="1"/>
  <c r="BR27" i="6" s="1"/>
  <c r="BT28" i="11" s="1"/>
  <c r="CL27" i="6"/>
  <c r="CP27" i="6" s="1"/>
  <c r="CT27" i="6" s="1"/>
  <c r="DB28" i="11" s="1"/>
  <c r="GR25" i="11"/>
  <c r="HI25" i="11"/>
  <c r="BL25" i="11"/>
  <c r="ES24" i="11"/>
  <c r="AK28" i="12"/>
  <c r="EM29" i="6"/>
  <c r="BA27" i="12"/>
  <c r="FU30" i="11" s="1"/>
  <c r="FD27" i="6"/>
  <c r="AD25" i="6"/>
  <c r="AC25" i="6"/>
  <c r="W26" i="11" s="1"/>
  <c r="AC26" i="11" s="1"/>
  <c r="AD26" i="11" s="1"/>
  <c r="CC24" i="11"/>
  <c r="O26" i="6"/>
  <c r="F27" i="11" s="1"/>
  <c r="L27" i="11" s="1"/>
  <c r="M27" i="11" s="1"/>
  <c r="FM26" i="6"/>
  <c r="GK27" i="11" s="1"/>
  <c r="GQ27" i="11" s="1"/>
  <c r="GR27" i="11" s="1"/>
  <c r="FN26" i="6"/>
  <c r="BI28" i="6"/>
  <c r="BH28" i="6"/>
  <c r="BJ28" i="6" s="1"/>
  <c r="GP25" i="6"/>
  <c r="GO25" i="6"/>
  <c r="HS26" i="11" s="1"/>
  <c r="HY26" i="11" s="1"/>
  <c r="EO28" i="6"/>
  <c r="EN28" i="6"/>
  <c r="FB28" i="6"/>
  <c r="FC28" i="6"/>
  <c r="DI25" i="6"/>
  <c r="DU26" i="11" s="1"/>
  <c r="EA26" i="11" s="1"/>
  <c r="EB26" i="11" s="1"/>
  <c r="DJ25" i="6"/>
  <c r="AE28" i="12"/>
  <c r="AU27" i="12"/>
  <c r="BW30" i="11" s="1"/>
  <c r="BG29" i="6"/>
  <c r="AL28" i="12"/>
  <c r="FA29" i="6"/>
  <c r="BB27" i="12"/>
  <c r="GL30" i="11" s="1"/>
  <c r="DW27" i="11"/>
  <c r="DC26" i="6"/>
  <c r="DG26" i="6" s="1"/>
  <c r="DA26" i="6"/>
  <c r="DE26" i="6" s="1"/>
  <c r="DB26" i="6"/>
  <c r="DF26" i="6" s="1"/>
  <c r="DD26" i="6"/>
  <c r="DH26" i="6" s="1"/>
  <c r="DS27" i="11" s="1"/>
  <c r="AM28" i="12"/>
  <c r="BC27" i="12"/>
  <c r="HC30" i="11" s="1"/>
  <c r="FO29" i="6"/>
  <c r="FN25" i="6"/>
  <c r="FM25" i="6"/>
  <c r="GK26" i="11" s="1"/>
  <c r="GQ26" i="11" s="1"/>
  <c r="GR26" i="11" s="1"/>
  <c r="EJ26" i="11"/>
  <c r="FP28" i="6"/>
  <c r="FQ28" i="6"/>
  <c r="DW26" i="6"/>
  <c r="EL27" i="11" s="1"/>
  <c r="ER27" i="11" s="1"/>
  <c r="ES27" i="11" s="1"/>
  <c r="DX26" i="6"/>
  <c r="GP26" i="6"/>
  <c r="GO26" i="6"/>
  <c r="HS27" i="11" s="1"/>
  <c r="HY27" i="11" s="1"/>
  <c r="HZ27" i="11" s="1"/>
  <c r="AF28" i="6"/>
  <c r="AG28" i="6"/>
  <c r="FE27" i="11"/>
  <c r="EC26" i="6"/>
  <c r="EG26" i="6" s="1"/>
  <c r="EF26" i="6"/>
  <c r="EJ26" i="6" s="1"/>
  <c r="FA27" i="11" s="1"/>
  <c r="EE26" i="6"/>
  <c r="EI26" i="6" s="1"/>
  <c r="ED26" i="6"/>
  <c r="EH26" i="6" s="1"/>
  <c r="R28" i="6"/>
  <c r="S28" i="6"/>
  <c r="FT26" i="6"/>
  <c r="FX26" i="6" s="1"/>
  <c r="HD27" i="11"/>
  <c r="FS26" i="6"/>
  <c r="FW26" i="6" s="1"/>
  <c r="FU26" i="6"/>
  <c r="FY26" i="6" s="1"/>
  <c r="FV26" i="6"/>
  <c r="FZ26" i="6" s="1"/>
  <c r="GZ27" i="11" s="1"/>
  <c r="AD23" i="11"/>
  <c r="FJ24" i="11"/>
  <c r="DX25" i="6"/>
  <c r="DW25" i="6"/>
  <c r="EL26" i="11" s="1"/>
  <c r="AD28" i="12"/>
  <c r="AS29" i="6"/>
  <c r="AT27" i="12"/>
  <c r="BF30" i="11" s="1"/>
  <c r="FE28" i="11"/>
  <c r="EE27" i="6"/>
  <c r="EI27" i="6" s="1"/>
  <c r="EC27" i="6"/>
  <c r="EG27" i="6" s="1"/>
  <c r="ED27" i="6"/>
  <c r="EH27" i="6" s="1"/>
  <c r="EF27" i="6"/>
  <c r="EJ27" i="6" s="1"/>
  <c r="FA28" i="11" s="1"/>
  <c r="BX27" i="11"/>
  <c r="BL26" i="6"/>
  <c r="BP26" i="6" s="1"/>
  <c r="BK26" i="6"/>
  <c r="BO26" i="6" s="1"/>
  <c r="BM26" i="6"/>
  <c r="BQ26" i="6" s="1"/>
  <c r="BN26" i="6"/>
  <c r="BR26" i="6" s="1"/>
  <c r="BT27" i="11" s="1"/>
  <c r="AV27" i="6"/>
  <c r="AP28" i="11"/>
  <c r="AI27" i="6"/>
  <c r="AM27" i="6" s="1"/>
  <c r="ER26" i="6"/>
  <c r="EV26" i="6" s="1"/>
  <c r="EQ26" i="6"/>
  <c r="EU26" i="6" s="1"/>
  <c r="ES26" i="6"/>
  <c r="EW26" i="6" s="1"/>
  <c r="ET26" i="6"/>
  <c r="EX26" i="6" s="1"/>
  <c r="FR27" i="11" s="1"/>
  <c r="FV27" i="11"/>
  <c r="GE28" i="6"/>
  <c r="GD28" i="6"/>
  <c r="GF28" i="6" s="1"/>
  <c r="X27" i="6"/>
  <c r="AB27" i="6" s="1"/>
  <c r="U28" i="11" s="1"/>
  <c r="U27" i="6"/>
  <c r="Y27" i="6" s="1"/>
  <c r="W27" i="6"/>
  <c r="AA27" i="6" s="1"/>
  <c r="Y28" i="11"/>
  <c r="V27" i="6"/>
  <c r="Z27" i="6" s="1"/>
  <c r="HU28" i="11"/>
  <c r="GG27" i="6"/>
  <c r="GK27" i="6" s="1"/>
  <c r="GH27" i="6"/>
  <c r="GL27" i="6" s="1"/>
  <c r="GI27" i="6"/>
  <c r="GM27" i="6" s="1"/>
  <c r="GJ27" i="6"/>
  <c r="GN27" i="6" s="1"/>
  <c r="HQ28" i="11" s="1"/>
  <c r="HD28" i="11"/>
  <c r="FV27" i="6"/>
  <c r="FZ27" i="6" s="1"/>
  <c r="GZ28" i="11" s="1"/>
  <c r="FS27" i="6"/>
  <c r="FW27" i="6" s="1"/>
  <c r="FT27" i="6"/>
  <c r="FX27" i="6" s="1"/>
  <c r="FU27" i="6"/>
  <c r="FY27" i="6" s="1"/>
  <c r="DF27" i="11"/>
  <c r="CP26" i="6"/>
  <c r="CT26" i="6" s="1"/>
  <c r="DB27" i="11" s="1"/>
  <c r="CO26" i="6"/>
  <c r="CS26" i="6" s="1"/>
  <c r="CN26" i="6"/>
  <c r="CR26" i="6" s="1"/>
  <c r="CM26" i="6"/>
  <c r="CQ26" i="6" s="1"/>
  <c r="BG27" i="11"/>
  <c r="AZ26" i="6"/>
  <c r="BD26" i="6" s="1"/>
  <c r="BC27" i="11" s="1"/>
  <c r="AY26" i="6"/>
  <c r="BC26" i="6" s="1"/>
  <c r="AX26" i="6"/>
  <c r="BB26" i="6" s="1"/>
  <c r="AW26" i="6"/>
  <c r="BA26" i="6" s="1"/>
  <c r="AQ26" i="6"/>
  <c r="AN27" i="11" s="1"/>
  <c r="AT27" i="11" s="1"/>
  <c r="AU27" i="11" s="1"/>
  <c r="CY28" i="6"/>
  <c r="CX28" i="6"/>
  <c r="EP27" i="6"/>
  <c r="AH28" i="12"/>
  <c r="CW29" i="6"/>
  <c r="AX27" i="12"/>
  <c r="DV30" i="11" s="1"/>
  <c r="AB28" i="12"/>
  <c r="AR27" i="12"/>
  <c r="X30" i="11" s="1"/>
  <c r="Q29" i="6"/>
  <c r="AC26" i="6"/>
  <c r="W27" i="11" s="1"/>
  <c r="AC27" i="11" s="1"/>
  <c r="AD27" i="11" s="1"/>
  <c r="AD26" i="6"/>
  <c r="AW27" i="12"/>
  <c r="DE30" i="11" s="1"/>
  <c r="CI29" i="6"/>
  <c r="AC28" i="12"/>
  <c r="AS27" i="12"/>
  <c r="AO30" i="11" s="1"/>
  <c r="AE29" i="6"/>
  <c r="BW28" i="6"/>
  <c r="BV28" i="6"/>
  <c r="DM28" i="6"/>
  <c r="DL28" i="6"/>
  <c r="DN27" i="6"/>
  <c r="AN28" i="12"/>
  <c r="GC29" i="6"/>
  <c r="BD27" i="12"/>
  <c r="HT30" i="11" s="1"/>
  <c r="CO28" i="11"/>
  <c r="BY27" i="6"/>
  <c r="CC27" i="6" s="1"/>
  <c r="BZ27" i="6"/>
  <c r="CD27" i="6" s="1"/>
  <c r="CA27" i="6"/>
  <c r="CE27" i="6" s="1"/>
  <c r="CB27" i="6"/>
  <c r="CF27" i="6" s="1"/>
  <c r="CK28" i="11" s="1"/>
  <c r="EA28" i="6"/>
  <c r="DZ28" i="6"/>
  <c r="CK28" i="6"/>
  <c r="CJ28" i="6"/>
  <c r="BF25" i="6"/>
  <c r="BE25" i="6"/>
  <c r="BE26" i="11" s="1"/>
  <c r="BK26" i="11" s="1"/>
  <c r="CG26" i="6"/>
  <c r="CM27" i="11" s="1"/>
  <c r="CS27" i="11" s="1"/>
  <c r="CT27" i="11" s="1"/>
  <c r="CH26" i="6"/>
  <c r="EY25" i="6"/>
  <c r="EZ25" i="6"/>
  <c r="DA27" i="6"/>
  <c r="DE27" i="6" s="1"/>
  <c r="DB27" i="6"/>
  <c r="DF27" i="6" s="1"/>
  <c r="DW28" i="11"/>
  <c r="D28" i="6"/>
  <c r="F28" i="6" s="1"/>
  <c r="I28" i="6" s="1"/>
  <c r="M28" i="6" s="1"/>
  <c r="AT28" i="6"/>
  <c r="AU28" i="6"/>
  <c r="AF28" i="12"/>
  <c r="AV27" i="12"/>
  <c r="CN30" i="11" s="1"/>
  <c r="BU29" i="6"/>
  <c r="AI28" i="12"/>
  <c r="DK29" i="6"/>
  <c r="AY27" i="12"/>
  <c r="EM30" i="11" s="1"/>
  <c r="AJ28" i="12"/>
  <c r="AZ27" i="12"/>
  <c r="FD30" i="11" s="1"/>
  <c r="DY29" i="6"/>
  <c r="C29" i="6"/>
  <c r="D29" i="6" s="1"/>
  <c r="AQ27" i="12"/>
  <c r="G30" i="11" s="1"/>
  <c r="HC26" i="6"/>
  <c r="IJ27" i="11" s="1"/>
  <c r="IP27" i="11" s="1"/>
  <c r="IQ27" i="11" s="1"/>
  <c r="HD26" i="6"/>
  <c r="AO28" i="12"/>
  <c r="BE27" i="12"/>
  <c r="IK30" i="11" s="1"/>
  <c r="GQ29" i="6"/>
  <c r="GR28" i="6"/>
  <c r="GS28" i="6"/>
  <c r="GT27" i="6"/>
  <c r="BI25" i="12"/>
  <c r="BH26" i="12"/>
  <c r="BG26" i="12"/>
  <c r="O27" i="6"/>
  <c r="F28" i="11" s="1"/>
  <c r="AG28" i="12"/>
  <c r="BF27" i="12"/>
  <c r="AA28" i="12"/>
  <c r="AQ28" i="12" s="1"/>
  <c r="AP27" i="12"/>
  <c r="BX28" i="6" l="1"/>
  <c r="AQ29" i="12"/>
  <c r="GT28" i="6"/>
  <c r="AJ27" i="6"/>
  <c r="AN27" i="6" s="1"/>
  <c r="L28" i="11"/>
  <c r="M28" i="11" s="1"/>
  <c r="CL28" i="6"/>
  <c r="BX28" i="11"/>
  <c r="BK27" i="6"/>
  <c r="BO27" i="6" s="1"/>
  <c r="BM27" i="6"/>
  <c r="BQ27" i="6" s="1"/>
  <c r="CZ28" i="6"/>
  <c r="DW29" i="11" s="1"/>
  <c r="DD27" i="6"/>
  <c r="DH27" i="6" s="1"/>
  <c r="DS28" i="11" s="1"/>
  <c r="AL27" i="6"/>
  <c r="AP27" i="6" s="1"/>
  <c r="AL28" i="11" s="1"/>
  <c r="EP28" i="6"/>
  <c r="EQ28" i="6" s="1"/>
  <c r="EU28" i="6" s="1"/>
  <c r="BL27" i="6"/>
  <c r="BP27" i="6" s="1"/>
  <c r="BT27" i="6" s="1"/>
  <c r="P27" i="6"/>
  <c r="T28" i="6"/>
  <c r="Y29" i="11" s="1"/>
  <c r="H28" i="6"/>
  <c r="L28" i="6" s="1"/>
  <c r="H29" i="11"/>
  <c r="J28" i="6"/>
  <c r="N28" i="6" s="1"/>
  <c r="D29" i="11" s="1"/>
  <c r="CM27" i="6"/>
  <c r="CQ27" i="6" s="1"/>
  <c r="CO27" i="6"/>
  <c r="CS27" i="6" s="1"/>
  <c r="DF28" i="11"/>
  <c r="G28" i="6"/>
  <c r="K28" i="6" s="1"/>
  <c r="CN27" i="6"/>
  <c r="CR27" i="6" s="1"/>
  <c r="E29" i="6"/>
  <c r="F29" i="6" s="1"/>
  <c r="H30" i="11" s="1"/>
  <c r="HZ26" i="11"/>
  <c r="BL26" i="11"/>
  <c r="FR28" i="6"/>
  <c r="BK28" i="6"/>
  <c r="BO28" i="6" s="1"/>
  <c r="BX29" i="11"/>
  <c r="BM28" i="6"/>
  <c r="BQ28" i="6" s="1"/>
  <c r="BL28" i="6"/>
  <c r="BP28" i="6" s="1"/>
  <c r="BN28" i="6"/>
  <c r="BR28" i="6" s="1"/>
  <c r="BT29" i="11" s="1"/>
  <c r="AU29" i="6"/>
  <c r="AT29" i="6"/>
  <c r="AV29" i="6" s="1"/>
  <c r="DQ27" i="6"/>
  <c r="DU27" i="6" s="1"/>
  <c r="DP27" i="6"/>
  <c r="DT27" i="6" s="1"/>
  <c r="DR27" i="6"/>
  <c r="DV27" i="6" s="1"/>
  <c r="EJ28" i="11" s="1"/>
  <c r="DO27" i="6"/>
  <c r="DS27" i="6" s="1"/>
  <c r="EN28" i="11"/>
  <c r="GO27" i="6"/>
  <c r="HS28" i="11" s="1"/>
  <c r="HY28" i="11" s="1"/>
  <c r="HZ28" i="11" s="1"/>
  <c r="GP27" i="6"/>
  <c r="AS30" i="6"/>
  <c r="AT28" i="12"/>
  <c r="FC29" i="6"/>
  <c r="FB29" i="6"/>
  <c r="FD29" i="6" s="1"/>
  <c r="GM28" i="11"/>
  <c r="FH27" i="6"/>
  <c r="FL27" i="6" s="1"/>
  <c r="GI28" i="11" s="1"/>
  <c r="FE27" i="6"/>
  <c r="FI27" i="6" s="1"/>
  <c r="FF27" i="6"/>
  <c r="FJ27" i="6" s="1"/>
  <c r="FG27" i="6"/>
  <c r="FK27" i="6" s="1"/>
  <c r="AQ27" i="6"/>
  <c r="AN28" i="11" s="1"/>
  <c r="ER26" i="11"/>
  <c r="FA30" i="6"/>
  <c r="BB28" i="12"/>
  <c r="DZ29" i="6"/>
  <c r="EA29" i="6"/>
  <c r="EB29" i="6" s="1"/>
  <c r="BI29" i="6"/>
  <c r="BH29" i="6"/>
  <c r="EN29" i="6"/>
  <c r="EO29" i="6"/>
  <c r="DI27" i="6"/>
  <c r="DU28" i="11" s="1"/>
  <c r="EA28" i="11" s="1"/>
  <c r="EB28" i="11" s="1"/>
  <c r="DJ27" i="6"/>
  <c r="AZ28" i="12"/>
  <c r="DY30" i="6"/>
  <c r="BD28" i="12"/>
  <c r="GC30" i="6"/>
  <c r="BA28" i="12"/>
  <c r="EM30" i="6"/>
  <c r="DN28" i="6"/>
  <c r="EK26" i="6"/>
  <c r="FC27" i="11" s="1"/>
  <c r="FI27" i="11" s="1"/>
  <c r="FJ27" i="11" s="1"/>
  <c r="EL26" i="6"/>
  <c r="AU28" i="12"/>
  <c r="BG30" i="6"/>
  <c r="EY26" i="6"/>
  <c r="FT27" i="11" s="1"/>
  <c r="FZ27" i="11" s="1"/>
  <c r="GA27" i="11" s="1"/>
  <c r="EZ26" i="6"/>
  <c r="GD29" i="6"/>
  <c r="GE29" i="6"/>
  <c r="DL29" i="6"/>
  <c r="DM29" i="6"/>
  <c r="AY28" i="12"/>
  <c r="DK30" i="6"/>
  <c r="BV29" i="6"/>
  <c r="BW29" i="6"/>
  <c r="AW28" i="12"/>
  <c r="CI30" i="6"/>
  <c r="BS26" i="6"/>
  <c r="BV27" i="11" s="1"/>
  <c r="CB27" i="11" s="1"/>
  <c r="BT26" i="6"/>
  <c r="FP29" i="6"/>
  <c r="FQ29" i="6"/>
  <c r="FT26" i="11"/>
  <c r="FZ26" i="11" s="1"/>
  <c r="Q30" i="6"/>
  <c r="AR28" i="12"/>
  <c r="BG28" i="11"/>
  <c r="AZ27" i="6"/>
  <c r="BD27" i="6" s="1"/>
  <c r="BC28" i="11" s="1"/>
  <c r="AY27" i="6"/>
  <c r="BC27" i="6" s="1"/>
  <c r="AX27" i="6"/>
  <c r="BB27" i="6" s="1"/>
  <c r="AW27" i="6"/>
  <c r="BA27" i="6" s="1"/>
  <c r="FV28" i="11"/>
  <c r="ES27" i="6"/>
  <c r="EW27" i="6" s="1"/>
  <c r="EQ27" i="6"/>
  <c r="EU27" i="6" s="1"/>
  <c r="ER27" i="6"/>
  <c r="EV27" i="6" s="1"/>
  <c r="ET27" i="6"/>
  <c r="EX27" i="6" s="1"/>
  <c r="FR28" i="11" s="1"/>
  <c r="GG28" i="6"/>
  <c r="GK28" i="6" s="1"/>
  <c r="HU29" i="11"/>
  <c r="GJ28" i="6"/>
  <c r="GN28" i="6" s="1"/>
  <c r="HQ29" i="11" s="1"/>
  <c r="GI28" i="6"/>
  <c r="GM28" i="6" s="1"/>
  <c r="GH28" i="6"/>
  <c r="GL28" i="6" s="1"/>
  <c r="AV28" i="12"/>
  <c r="BU30" i="6"/>
  <c r="AF29" i="6"/>
  <c r="AG29" i="6"/>
  <c r="AE30" i="6"/>
  <c r="AS28" i="12"/>
  <c r="GB27" i="6"/>
  <c r="AH28" i="6"/>
  <c r="FO30" i="6"/>
  <c r="BC28" i="12"/>
  <c r="FD28" i="6"/>
  <c r="AX28" i="12"/>
  <c r="CW30" i="6"/>
  <c r="DC28" i="6"/>
  <c r="DG28" i="6" s="1"/>
  <c r="DA28" i="6"/>
  <c r="DE28" i="6" s="1"/>
  <c r="DD28" i="6"/>
  <c r="DH28" i="6" s="1"/>
  <c r="DS29" i="11" s="1"/>
  <c r="DB28" i="6"/>
  <c r="DF28" i="6" s="1"/>
  <c r="EB28" i="6"/>
  <c r="BE26" i="6"/>
  <c r="BE27" i="11" s="1"/>
  <c r="BK27" i="11" s="1"/>
  <c r="BL27" i="11" s="1"/>
  <c r="BF26" i="6"/>
  <c r="CU26" i="6"/>
  <c r="DD27" i="11" s="1"/>
  <c r="DJ27" i="11" s="1"/>
  <c r="DK27" i="11" s="1"/>
  <c r="CV26" i="6"/>
  <c r="CX29" i="6"/>
  <c r="CY29" i="6"/>
  <c r="AC27" i="6"/>
  <c r="W28" i="11" s="1"/>
  <c r="AC28" i="11" s="1"/>
  <c r="AD28" i="11" s="1"/>
  <c r="AD27" i="6"/>
  <c r="AV28" i="6"/>
  <c r="CK29" i="6"/>
  <c r="CJ29" i="6"/>
  <c r="GA27" i="6"/>
  <c r="HB28" i="11" s="1"/>
  <c r="HH28" i="11" s="1"/>
  <c r="HI28" i="11" s="1"/>
  <c r="GB26" i="6"/>
  <c r="GA26" i="6"/>
  <c r="HB27" i="11" s="1"/>
  <c r="HH27" i="11" s="1"/>
  <c r="HI27" i="11" s="1"/>
  <c r="ER28" i="6"/>
  <c r="EV28" i="6" s="1"/>
  <c r="FV29" i="11"/>
  <c r="ES28" i="6"/>
  <c r="EW28" i="6" s="1"/>
  <c r="ET28" i="6"/>
  <c r="EX28" i="6" s="1"/>
  <c r="FR29" i="11" s="1"/>
  <c r="R29" i="6"/>
  <c r="S29" i="6"/>
  <c r="CO29" i="11"/>
  <c r="BY28" i="6"/>
  <c r="CC28" i="6" s="1"/>
  <c r="BZ28" i="6"/>
  <c r="CD28" i="6" s="1"/>
  <c r="CA28" i="6"/>
  <c r="CE28" i="6" s="1"/>
  <c r="CB28" i="6"/>
  <c r="CF28" i="6" s="1"/>
  <c r="CK29" i="11" s="1"/>
  <c r="DF29" i="11"/>
  <c r="CO28" i="6"/>
  <c r="CS28" i="6" s="1"/>
  <c r="CP28" i="6"/>
  <c r="CT28" i="6" s="1"/>
  <c r="DB29" i="11" s="1"/>
  <c r="CM28" i="6"/>
  <c r="CQ28" i="6" s="1"/>
  <c r="CN28" i="6"/>
  <c r="CR28" i="6" s="1"/>
  <c r="CG27" i="6"/>
  <c r="CM28" i="11" s="1"/>
  <c r="CS28" i="11" s="1"/>
  <c r="CT28" i="11" s="1"/>
  <c r="CH27" i="6"/>
  <c r="EK27" i="6"/>
  <c r="FC28" i="11" s="1"/>
  <c r="FI28" i="11" s="1"/>
  <c r="FJ28" i="11" s="1"/>
  <c r="EL27" i="6"/>
  <c r="DI26" i="6"/>
  <c r="DU27" i="11" s="1"/>
  <c r="EA27" i="11" s="1"/>
  <c r="EB27" i="11" s="1"/>
  <c r="DJ26" i="6"/>
  <c r="C30" i="6"/>
  <c r="E30" i="6" s="1"/>
  <c r="G31" i="11"/>
  <c r="G32" i="11" s="1"/>
  <c r="IL29" i="11"/>
  <c r="GU28" i="6"/>
  <c r="GY28" i="6" s="1"/>
  <c r="GW28" i="6"/>
  <c r="HA28" i="6" s="1"/>
  <c r="GX28" i="6"/>
  <c r="HB28" i="6" s="1"/>
  <c r="IH29" i="11" s="1"/>
  <c r="GV28" i="6"/>
  <c r="GZ28" i="6" s="1"/>
  <c r="GS29" i="6"/>
  <c r="GR29" i="6"/>
  <c r="IL28" i="11"/>
  <c r="GU27" i="6"/>
  <c r="GY27" i="6" s="1"/>
  <c r="GV27" i="6"/>
  <c r="GZ27" i="6" s="1"/>
  <c r="GW27" i="6"/>
  <c r="HA27" i="6" s="1"/>
  <c r="GX27" i="6"/>
  <c r="HB27" i="6" s="1"/>
  <c r="IH28" i="11" s="1"/>
  <c r="GQ30" i="6"/>
  <c r="BE28" i="12"/>
  <c r="BI26" i="12"/>
  <c r="BG27" i="12"/>
  <c r="BH27" i="12"/>
  <c r="BF28" i="12"/>
  <c r="AP28" i="12"/>
  <c r="AP29" i="12" s="1"/>
  <c r="BF31" i="11" l="1"/>
  <c r="BF32" i="11" s="1"/>
  <c r="AT29" i="12"/>
  <c r="EM31" i="11"/>
  <c r="EM32" i="11" s="1"/>
  <c r="AY29" i="12"/>
  <c r="X31" i="11"/>
  <c r="X32" i="11" s="1"/>
  <c r="AR29" i="12"/>
  <c r="DV31" i="11"/>
  <c r="DV32" i="11" s="1"/>
  <c r="AX29" i="12"/>
  <c r="FD31" i="11"/>
  <c r="FD32" i="11" s="1"/>
  <c r="AZ29" i="12"/>
  <c r="GL31" i="11"/>
  <c r="GL32" i="11" s="1"/>
  <c r="BB29" i="12"/>
  <c r="CN31" i="11"/>
  <c r="CN32" i="11" s="1"/>
  <c r="AV29" i="12"/>
  <c r="HC31" i="11"/>
  <c r="HC32" i="11" s="1"/>
  <c r="G57" i="11" s="1"/>
  <c r="BC29" i="12"/>
  <c r="DE31" i="11"/>
  <c r="DE32" i="11" s="1"/>
  <c r="AW29" i="12"/>
  <c r="FU31" i="11"/>
  <c r="FU32" i="11" s="1"/>
  <c r="BA29" i="12"/>
  <c r="CV27" i="6"/>
  <c r="BW31" i="11"/>
  <c r="BW32" i="11" s="1"/>
  <c r="AU29" i="12"/>
  <c r="IK31" i="11"/>
  <c r="IK32" i="11" s="1"/>
  <c r="BE29" i="12"/>
  <c r="AO31" i="11"/>
  <c r="AO32" i="11" s="1"/>
  <c r="AS29" i="12"/>
  <c r="HT31" i="11"/>
  <c r="HT32" i="11" s="1"/>
  <c r="BD29" i="12"/>
  <c r="BS27" i="6"/>
  <c r="BV28" i="11" s="1"/>
  <c r="CB28" i="11" s="1"/>
  <c r="CC28" i="11" s="1"/>
  <c r="W28" i="6"/>
  <c r="AA28" i="6" s="1"/>
  <c r="V28" i="6"/>
  <c r="Z28" i="6" s="1"/>
  <c r="BJ29" i="6"/>
  <c r="AT28" i="11"/>
  <c r="AU28" i="11" s="1"/>
  <c r="U28" i="6"/>
  <c r="Y28" i="6" s="1"/>
  <c r="CU27" i="6"/>
  <c r="DD28" i="11" s="1"/>
  <c r="DJ28" i="11" s="1"/>
  <c r="DK28" i="11" s="1"/>
  <c r="X28" i="6"/>
  <c r="AB28" i="6" s="1"/>
  <c r="U29" i="11" s="1"/>
  <c r="AR27" i="6"/>
  <c r="P28" i="6"/>
  <c r="O28" i="6"/>
  <c r="F29" i="11" s="1"/>
  <c r="L29" i="11" s="1"/>
  <c r="M29" i="11" s="1"/>
  <c r="D30" i="6"/>
  <c r="F30" i="6" s="1"/>
  <c r="H31" i="11" s="1"/>
  <c r="H32" i="11" s="1"/>
  <c r="CL29" i="6"/>
  <c r="CP29" i="6" s="1"/>
  <c r="CT29" i="6" s="1"/>
  <c r="DB30" i="11" s="1"/>
  <c r="BX29" i="6"/>
  <c r="CO30" i="11" s="1"/>
  <c r="CC27" i="11"/>
  <c r="DN29" i="6"/>
  <c r="EN30" i="6"/>
  <c r="EO30" i="6"/>
  <c r="EP30" i="6" s="1"/>
  <c r="EP29" i="6"/>
  <c r="BN29" i="6"/>
  <c r="BR29" i="6" s="1"/>
  <c r="BT30" i="11" s="1"/>
  <c r="BX30" i="11"/>
  <c r="BK29" i="6"/>
  <c r="BO29" i="6" s="1"/>
  <c r="BM29" i="6"/>
  <c r="BQ29" i="6" s="1"/>
  <c r="BL29" i="6"/>
  <c r="BP29" i="6" s="1"/>
  <c r="BG30" i="11"/>
  <c r="AZ29" i="6"/>
  <c r="BD29" i="6" s="1"/>
  <c r="BC30" i="11" s="1"/>
  <c r="AY29" i="6"/>
  <c r="BC29" i="6" s="1"/>
  <c r="AX29" i="6"/>
  <c r="BB29" i="6" s="1"/>
  <c r="AW29" i="6"/>
  <c r="BA29" i="6" s="1"/>
  <c r="FR29" i="6"/>
  <c r="GF29" i="6"/>
  <c r="FM27" i="6"/>
  <c r="GK28" i="11" s="1"/>
  <c r="GQ28" i="11" s="1"/>
  <c r="GR28" i="11" s="1"/>
  <c r="FN27" i="6"/>
  <c r="EE29" i="6"/>
  <c r="EI29" i="6" s="1"/>
  <c r="EC29" i="6"/>
  <c r="EG29" i="6" s="1"/>
  <c r="FE30" i="11"/>
  <c r="ED29" i="6"/>
  <c r="EH29" i="6" s="1"/>
  <c r="EF29" i="6"/>
  <c r="EJ29" i="6" s="1"/>
  <c r="FA30" i="11" s="1"/>
  <c r="GO28" i="6"/>
  <c r="HS29" i="11" s="1"/>
  <c r="HY29" i="11" s="1"/>
  <c r="HZ29" i="11" s="1"/>
  <c r="GP28" i="6"/>
  <c r="FF29" i="6"/>
  <c r="FJ29" i="6" s="1"/>
  <c r="GM30" i="11"/>
  <c r="FH29" i="6"/>
  <c r="FL29" i="6" s="1"/>
  <c r="GI30" i="11" s="1"/>
  <c r="FG29" i="6"/>
  <c r="FK29" i="6" s="1"/>
  <c r="FE29" i="6"/>
  <c r="FI29" i="6" s="1"/>
  <c r="BS28" i="6"/>
  <c r="BV29" i="11" s="1"/>
  <c r="CB29" i="11" s="1"/>
  <c r="CC29" i="11" s="1"/>
  <c r="FC30" i="6"/>
  <c r="FB30" i="6"/>
  <c r="FD30" i="6" s="1"/>
  <c r="BI30" i="6"/>
  <c r="BH30" i="6"/>
  <c r="GD30" i="6"/>
  <c r="GE30" i="6"/>
  <c r="BT28" i="6"/>
  <c r="EY27" i="6"/>
  <c r="FT28" i="11" s="1"/>
  <c r="FZ28" i="11" s="1"/>
  <c r="GA28" i="11" s="1"/>
  <c r="EZ27" i="6"/>
  <c r="BG29" i="11"/>
  <c r="AZ28" i="6"/>
  <c r="BD28" i="6" s="1"/>
  <c r="BC29" i="11" s="1"/>
  <c r="AY28" i="6"/>
  <c r="BC28" i="6" s="1"/>
  <c r="AX28" i="6"/>
  <c r="BB28" i="6" s="1"/>
  <c r="AW28" i="6"/>
  <c r="BA28" i="6" s="1"/>
  <c r="CY30" i="6"/>
  <c r="CX30" i="6"/>
  <c r="BV30" i="6"/>
  <c r="BW30" i="6"/>
  <c r="CK30" i="6"/>
  <c r="CJ30" i="6"/>
  <c r="CL30" i="6" s="1"/>
  <c r="ES26" i="11"/>
  <c r="AU30" i="6"/>
  <c r="AT30" i="6"/>
  <c r="AV30" i="6" s="1"/>
  <c r="FE29" i="11"/>
  <c r="EF28" i="6"/>
  <c r="EJ28" i="6" s="1"/>
  <c r="FA29" i="11" s="1"/>
  <c r="EC28" i="6"/>
  <c r="EG28" i="6" s="1"/>
  <c r="ED28" i="6"/>
  <c r="EH28" i="6" s="1"/>
  <c r="EE28" i="6"/>
  <c r="EI28" i="6" s="1"/>
  <c r="AF30" i="6"/>
  <c r="AG30" i="6"/>
  <c r="CG28" i="6"/>
  <c r="CM29" i="11" s="1"/>
  <c r="CS29" i="11" s="1"/>
  <c r="CT29" i="11" s="1"/>
  <c r="CH28" i="6"/>
  <c r="HD29" i="11"/>
  <c r="FT28" i="6"/>
  <c r="FX28" i="6" s="1"/>
  <c r="FU28" i="6"/>
  <c r="FY28" i="6" s="1"/>
  <c r="FV28" i="6"/>
  <c r="FZ28" i="6" s="1"/>
  <c r="GZ29" i="11" s="1"/>
  <c r="FS28" i="6"/>
  <c r="FW28" i="6" s="1"/>
  <c r="DJ28" i="6"/>
  <c r="DI28" i="6"/>
  <c r="DU29" i="11" s="1"/>
  <c r="EA29" i="11" s="1"/>
  <c r="EB29" i="11" s="1"/>
  <c r="BF27" i="6"/>
  <c r="BE27" i="6"/>
  <c r="BE28" i="11" s="1"/>
  <c r="BK28" i="11" s="1"/>
  <c r="BL28" i="11" s="1"/>
  <c r="DZ30" i="6"/>
  <c r="EA30" i="6"/>
  <c r="CV28" i="6"/>
  <c r="CU28" i="6"/>
  <c r="DD29" i="11" s="1"/>
  <c r="DJ29" i="11" s="1"/>
  <c r="DK29" i="11" s="1"/>
  <c r="T29" i="6"/>
  <c r="EY28" i="6"/>
  <c r="FT29" i="11" s="1"/>
  <c r="FZ29" i="11" s="1"/>
  <c r="GA29" i="11" s="1"/>
  <c r="EZ28" i="6"/>
  <c r="CZ29" i="6"/>
  <c r="GM29" i="11"/>
  <c r="FE28" i="6"/>
  <c r="FI28" i="6" s="1"/>
  <c r="FF28" i="6"/>
  <c r="FJ28" i="6" s="1"/>
  <c r="FG28" i="6"/>
  <c r="FK28" i="6" s="1"/>
  <c r="FH28" i="6"/>
  <c r="FL28" i="6" s="1"/>
  <c r="GI29" i="11" s="1"/>
  <c r="S30" i="6"/>
  <c r="R30" i="6"/>
  <c r="T30" i="6" s="1"/>
  <c r="DM30" i="6"/>
  <c r="DL30" i="6"/>
  <c r="AP29" i="11"/>
  <c r="AI28" i="6"/>
  <c r="AM28" i="6" s="1"/>
  <c r="AJ28" i="6"/>
  <c r="AN28" i="6" s="1"/>
  <c r="AL28" i="6"/>
  <c r="AP28" i="6" s="1"/>
  <c r="AL29" i="11" s="1"/>
  <c r="AK28" i="6"/>
  <c r="AO28" i="6" s="1"/>
  <c r="FQ30" i="6"/>
  <c r="FP30" i="6"/>
  <c r="FR30" i="6" s="1"/>
  <c r="DX27" i="6"/>
  <c r="DW27" i="6"/>
  <c r="EL28" i="11" s="1"/>
  <c r="ER28" i="11" s="1"/>
  <c r="ES28" i="11" s="1"/>
  <c r="GA26" i="11"/>
  <c r="AH29" i="6"/>
  <c r="GT29" i="6"/>
  <c r="GX29" i="6" s="1"/>
  <c r="HB29" i="6" s="1"/>
  <c r="IH30" i="11" s="1"/>
  <c r="EN29" i="11"/>
  <c r="DR28" i="6"/>
  <c r="DV28" i="6" s="1"/>
  <c r="EJ29" i="11" s="1"/>
  <c r="DP28" i="6"/>
  <c r="DT28" i="6" s="1"/>
  <c r="DO28" i="6"/>
  <c r="DS28" i="6" s="1"/>
  <c r="DQ28" i="6"/>
  <c r="DU28" i="6" s="1"/>
  <c r="GS30" i="6"/>
  <c r="GR30" i="6"/>
  <c r="HC28" i="6"/>
  <c r="IJ29" i="11" s="1"/>
  <c r="IP29" i="11" s="1"/>
  <c r="IQ29" i="11" s="1"/>
  <c r="HD28" i="6"/>
  <c r="HD27" i="6"/>
  <c r="HC27" i="6"/>
  <c r="IJ28" i="11" s="1"/>
  <c r="IP28" i="11" s="1"/>
  <c r="IQ28" i="11" s="1"/>
  <c r="I29" i="6"/>
  <c r="M29" i="6" s="1"/>
  <c r="J29" i="6"/>
  <c r="N29" i="6" s="1"/>
  <c r="D30" i="11" s="1"/>
  <c r="H29" i="6"/>
  <c r="L29" i="6" s="1"/>
  <c r="G29" i="6"/>
  <c r="K29" i="6" s="1"/>
  <c r="BH28" i="12"/>
  <c r="BG28" i="12"/>
  <c r="BI27" i="12"/>
  <c r="AC28" i="6" l="1"/>
  <c r="W29" i="11" s="1"/>
  <c r="AC29" i="11"/>
  <c r="AD29" i="11" s="1"/>
  <c r="CA29" i="6"/>
  <c r="CE29" i="6" s="1"/>
  <c r="AD28" i="6"/>
  <c r="CZ30" i="6"/>
  <c r="DW31" i="11" s="1"/>
  <c r="DF30" i="11"/>
  <c r="I30" i="6"/>
  <c r="I31" i="6" s="1"/>
  <c r="BZ29" i="6"/>
  <c r="CD29" i="6" s="1"/>
  <c r="BY29" i="6"/>
  <c r="CC29" i="6" s="1"/>
  <c r="CG29" i="6" s="1"/>
  <c r="CM30" i="11" s="1"/>
  <c r="CB29" i="6"/>
  <c r="CF29" i="6" s="1"/>
  <c r="CK30" i="11" s="1"/>
  <c r="CN29" i="6"/>
  <c r="CR29" i="6" s="1"/>
  <c r="CO29" i="6"/>
  <c r="CS29" i="6" s="1"/>
  <c r="CM29" i="6"/>
  <c r="CQ29" i="6" s="1"/>
  <c r="CU29" i="6" s="1"/>
  <c r="DD30" i="11" s="1"/>
  <c r="DJ30" i="11" s="1"/>
  <c r="DK30" i="11" s="1"/>
  <c r="DN30" i="6"/>
  <c r="DO30" i="6" s="1"/>
  <c r="GF30" i="6"/>
  <c r="HU31" i="11" s="1"/>
  <c r="HU32" i="11" s="1"/>
  <c r="J30" i="6"/>
  <c r="G30" i="6"/>
  <c r="H30" i="6"/>
  <c r="GT30" i="6"/>
  <c r="BJ30" i="6"/>
  <c r="BX31" i="11" s="1"/>
  <c r="BX32" i="11" s="1"/>
  <c r="GW29" i="6"/>
  <c r="HA29" i="6" s="1"/>
  <c r="IL30" i="11"/>
  <c r="GU29" i="6"/>
  <c r="GY29" i="6" s="1"/>
  <c r="GV29" i="6"/>
  <c r="GZ29" i="6" s="1"/>
  <c r="CP30" i="6"/>
  <c r="CM30" i="6"/>
  <c r="CN30" i="6"/>
  <c r="CO30" i="6"/>
  <c r="DF31" i="11"/>
  <c r="DF32" i="11" s="1"/>
  <c r="DW28" i="6"/>
  <c r="EL29" i="11" s="1"/>
  <c r="ER29" i="11" s="1"/>
  <c r="ES29" i="11" s="1"/>
  <c r="DX28" i="6"/>
  <c r="DA30" i="6"/>
  <c r="BE28" i="6"/>
  <c r="BE29" i="11" s="1"/>
  <c r="BK29" i="11" s="1"/>
  <c r="BL29" i="11" s="1"/>
  <c r="BF28" i="6"/>
  <c r="BS29" i="6"/>
  <c r="BV30" i="11" s="1"/>
  <c r="CB30" i="11" s="1"/>
  <c r="CC30" i="11" s="1"/>
  <c r="FM28" i="6"/>
  <c r="GK29" i="11" s="1"/>
  <c r="GQ29" i="11" s="1"/>
  <c r="GR29" i="11" s="1"/>
  <c r="FN28" i="6"/>
  <c r="U30" i="6"/>
  <c r="V30" i="6"/>
  <c r="W30" i="6"/>
  <c r="X30" i="6"/>
  <c r="Y31" i="11"/>
  <c r="BT29" i="6"/>
  <c r="AH30" i="6"/>
  <c r="EK29" i="6"/>
  <c r="FC30" i="11" s="1"/>
  <c r="FI30" i="11" s="1"/>
  <c r="FJ30" i="11" s="1"/>
  <c r="EL29" i="6"/>
  <c r="GA28" i="6"/>
  <c r="HB29" i="11" s="1"/>
  <c r="HH29" i="11" s="1"/>
  <c r="HI29" i="11" s="1"/>
  <c r="GB28" i="6"/>
  <c r="FE30" i="6"/>
  <c r="FF30" i="6"/>
  <c r="FG30" i="6"/>
  <c r="GM31" i="11"/>
  <c r="GM32" i="11" s="1"/>
  <c r="FH30" i="6"/>
  <c r="BX30" i="6"/>
  <c r="FV30" i="11"/>
  <c r="EQ29" i="6"/>
  <c r="EU29" i="6" s="1"/>
  <c r="ER29" i="6"/>
  <c r="EV29" i="6" s="1"/>
  <c r="ES29" i="6"/>
  <c r="EW29" i="6" s="1"/>
  <c r="ET29" i="6"/>
  <c r="EX29" i="6" s="1"/>
  <c r="FR30" i="11" s="1"/>
  <c r="ER30" i="6"/>
  <c r="FV31" i="11"/>
  <c r="FV32" i="11" s="1"/>
  <c r="EQ30" i="6"/>
  <c r="ES30" i="6"/>
  <c r="ET30" i="6"/>
  <c r="BK30" i="6"/>
  <c r="BK31" i="6" s="1"/>
  <c r="BL30" i="6"/>
  <c r="BL31" i="6" s="1"/>
  <c r="AJ29" i="6"/>
  <c r="AN29" i="6" s="1"/>
  <c r="AK29" i="6"/>
  <c r="AO29" i="6" s="1"/>
  <c r="AI29" i="6"/>
  <c r="AM29" i="6" s="1"/>
  <c r="AP30" i="11"/>
  <c r="AL29" i="6"/>
  <c r="AP29" i="6" s="1"/>
  <c r="AL30" i="11" s="1"/>
  <c r="AX30" i="6"/>
  <c r="AX31" i="6" s="1"/>
  <c r="AW30" i="6"/>
  <c r="AW31" i="6" s="1"/>
  <c r="AY30" i="6"/>
  <c r="AY31" i="6" s="1"/>
  <c r="BG31" i="11"/>
  <c r="BG32" i="11" s="1"/>
  <c r="AZ30" i="6"/>
  <c r="AZ31" i="6" s="1"/>
  <c r="FM29" i="6"/>
  <c r="GK30" i="11" s="1"/>
  <c r="GQ30" i="11" s="1"/>
  <c r="GR30" i="11" s="1"/>
  <c r="FN29" i="6"/>
  <c r="Y30" i="11"/>
  <c r="U29" i="6"/>
  <c r="Y29" i="6" s="1"/>
  <c r="V29" i="6"/>
  <c r="Z29" i="6" s="1"/>
  <c r="W29" i="6"/>
  <c r="AA29" i="6" s="1"/>
  <c r="X29" i="6"/>
  <c r="AB29" i="6" s="1"/>
  <c r="U30" i="11" s="1"/>
  <c r="EN30" i="11"/>
  <c r="DQ29" i="6"/>
  <c r="DU29" i="6" s="1"/>
  <c r="DO29" i="6"/>
  <c r="DS29" i="6" s="1"/>
  <c r="DR29" i="6"/>
  <c r="DV29" i="6" s="1"/>
  <c r="EJ30" i="11" s="1"/>
  <c r="DP29" i="6"/>
  <c r="DT29" i="6" s="1"/>
  <c r="EK28" i="6"/>
  <c r="FC29" i="11" s="1"/>
  <c r="FI29" i="11" s="1"/>
  <c r="FJ29" i="11" s="1"/>
  <c r="EL28" i="6"/>
  <c r="HU30" i="11"/>
  <c r="GG29" i="6"/>
  <c r="GK29" i="6" s="1"/>
  <c r="GI29" i="6"/>
  <c r="GM29" i="6" s="1"/>
  <c r="GJ29" i="6"/>
  <c r="GN29" i="6" s="1"/>
  <c r="HQ30" i="11" s="1"/>
  <c r="GH29" i="6"/>
  <c r="GL29" i="6" s="1"/>
  <c r="BF29" i="6"/>
  <c r="BE29" i="6"/>
  <c r="BE30" i="11" s="1"/>
  <c r="BK30" i="11" s="1"/>
  <c r="BL30" i="11" s="1"/>
  <c r="DC29" i="6"/>
  <c r="DG29" i="6" s="1"/>
  <c r="DD29" i="6"/>
  <c r="DH29" i="6" s="1"/>
  <c r="DS30" i="11" s="1"/>
  <c r="DW30" i="11"/>
  <c r="DA29" i="6"/>
  <c r="DE29" i="6" s="1"/>
  <c r="DB29" i="6"/>
  <c r="DF29" i="6" s="1"/>
  <c r="FV30" i="6"/>
  <c r="FU30" i="6"/>
  <c r="FT30" i="6"/>
  <c r="HD31" i="11"/>
  <c r="HD32" i="11" s="1"/>
  <c r="FS30" i="6"/>
  <c r="EB30" i="6"/>
  <c r="AR28" i="6"/>
  <c r="AQ28" i="6"/>
  <c r="AN29" i="11" s="1"/>
  <c r="AT29" i="11" s="1"/>
  <c r="AU29" i="11" s="1"/>
  <c r="FV29" i="6"/>
  <c r="FZ29" i="6" s="1"/>
  <c r="GZ30" i="11" s="1"/>
  <c r="HD30" i="11"/>
  <c r="FS29" i="6"/>
  <c r="FW29" i="6" s="1"/>
  <c r="FT29" i="6"/>
  <c r="FX29" i="6" s="1"/>
  <c r="FU29" i="6"/>
  <c r="FY29" i="6" s="1"/>
  <c r="IL31" i="11"/>
  <c r="IL32" i="11" s="1"/>
  <c r="GU30" i="6"/>
  <c r="GW30" i="6"/>
  <c r="GV30" i="6"/>
  <c r="GX30" i="6"/>
  <c r="BI28" i="12"/>
  <c r="O29" i="6"/>
  <c r="F30" i="11" s="1"/>
  <c r="L30" i="11" s="1"/>
  <c r="M30" i="11" s="1"/>
  <c r="P29" i="6"/>
  <c r="M30" i="6"/>
  <c r="M31" i="6" s="1"/>
  <c r="DD30" i="6" l="1"/>
  <c r="DC30" i="6"/>
  <c r="DS30" i="6"/>
  <c r="DS31" i="6" s="1"/>
  <c r="DO31" i="6"/>
  <c r="AA30" i="6"/>
  <c r="AA31" i="6" s="1"/>
  <c r="W31" i="6"/>
  <c r="Y30" i="6"/>
  <c r="Y31" i="6" s="1"/>
  <c r="U31" i="6"/>
  <c r="CT30" i="6"/>
  <c r="CP31" i="6"/>
  <c r="CS30" i="6"/>
  <c r="CS31" i="6" s="1"/>
  <c r="CO31" i="6"/>
  <c r="EU30" i="6"/>
  <c r="EU31" i="6" s="1"/>
  <c r="EQ31" i="6"/>
  <c r="CS30" i="11"/>
  <c r="CT30" i="11" s="1"/>
  <c r="Z30" i="6"/>
  <c r="Z31" i="6" s="1"/>
  <c r="V31" i="6"/>
  <c r="CR30" i="6"/>
  <c r="CR31" i="6" s="1"/>
  <c r="CN31" i="6"/>
  <c r="CQ30" i="6"/>
  <c r="CQ31" i="6" s="1"/>
  <c r="CM31" i="6"/>
  <c r="HA30" i="6"/>
  <c r="HA31" i="6" s="1"/>
  <c r="GW31" i="6"/>
  <c r="EV30" i="6"/>
  <c r="EV31" i="6" s="1"/>
  <c r="ER31" i="6"/>
  <c r="EW30" i="6"/>
  <c r="EW31" i="6" s="1"/>
  <c r="ES31" i="6"/>
  <c r="CV29" i="6"/>
  <c r="FW30" i="6"/>
  <c r="FW31" i="6" s="1"/>
  <c r="FS31" i="6"/>
  <c r="HB30" i="6"/>
  <c r="GX31" i="6"/>
  <c r="FJ30" i="6"/>
  <c r="FJ31" i="6" s="1"/>
  <c r="FF31" i="6"/>
  <c r="GY30" i="6"/>
  <c r="GY31" i="6" s="1"/>
  <c r="GU31" i="6"/>
  <c r="DH30" i="6"/>
  <c r="DD31" i="6"/>
  <c r="N30" i="6"/>
  <c r="J31" i="6"/>
  <c r="GZ30" i="6"/>
  <c r="GZ31" i="6" s="1"/>
  <c r="GV31" i="6"/>
  <c r="FY30" i="6"/>
  <c r="FY31" i="6" s="1"/>
  <c r="FU31" i="6"/>
  <c r="DG30" i="6"/>
  <c r="DG31" i="6" s="1"/>
  <c r="DC31" i="6"/>
  <c r="FX30" i="6"/>
  <c r="FX31" i="6" s="1"/>
  <c r="FT31" i="6"/>
  <c r="DE30" i="6"/>
  <c r="DE31" i="6" s="1"/>
  <c r="DA31" i="6"/>
  <c r="FZ30" i="6"/>
  <c r="FV31" i="6"/>
  <c r="DB30" i="6"/>
  <c r="FL30" i="6"/>
  <c r="FH31" i="6"/>
  <c r="FI30" i="6"/>
  <c r="FI31" i="6" s="1"/>
  <c r="FE31" i="6"/>
  <c r="L30" i="6"/>
  <c r="L31" i="6" s="1"/>
  <c r="H31" i="6"/>
  <c r="EX30" i="6"/>
  <c r="ET31" i="6"/>
  <c r="FK30" i="6"/>
  <c r="FK31" i="6" s="1"/>
  <c r="FG31" i="6"/>
  <c r="AB30" i="6"/>
  <c r="X31" i="6"/>
  <c r="K30" i="6"/>
  <c r="K31" i="6" s="1"/>
  <c r="G31" i="6"/>
  <c r="Y32" i="11"/>
  <c r="DW32" i="11"/>
  <c r="GI30" i="6"/>
  <c r="CH29" i="6"/>
  <c r="GH30" i="6"/>
  <c r="GJ30" i="6"/>
  <c r="EN31" i="11"/>
  <c r="EN32" i="11" s="1"/>
  <c r="BN30" i="6"/>
  <c r="GG30" i="6"/>
  <c r="DR30" i="6"/>
  <c r="DQ30" i="6"/>
  <c r="DP30" i="6"/>
  <c r="BM30" i="6"/>
  <c r="BM31" i="6" s="1"/>
  <c r="HC29" i="6"/>
  <c r="IJ30" i="11" s="1"/>
  <c r="IP30" i="11" s="1"/>
  <c r="IQ30" i="11" s="1"/>
  <c r="HD29" i="6"/>
  <c r="GB29" i="6"/>
  <c r="GA29" i="6"/>
  <c r="HB30" i="11" s="1"/>
  <c r="HH30" i="11" s="1"/>
  <c r="HI30" i="11" s="1"/>
  <c r="AL30" i="6"/>
  <c r="AL31" i="6" s="1"/>
  <c r="AP31" i="11"/>
  <c r="AP32" i="11" s="1"/>
  <c r="AI30" i="6"/>
  <c r="AI31" i="6" s="1"/>
  <c r="AJ30" i="6"/>
  <c r="AJ31" i="6" s="1"/>
  <c r="AK30" i="6"/>
  <c r="AK31" i="6" s="1"/>
  <c r="CB30" i="6"/>
  <c r="CB31" i="6" s="1"/>
  <c r="CA30" i="6"/>
  <c r="CA31" i="6" s="1"/>
  <c r="CO31" i="11"/>
  <c r="CO32" i="11" s="1"/>
  <c r="BY30" i="6"/>
  <c r="BY31" i="6" s="1"/>
  <c r="BZ30" i="6"/>
  <c r="BZ31" i="6" s="1"/>
  <c r="BA30" i="6"/>
  <c r="BA31" i="6" s="1"/>
  <c r="BC30" i="6"/>
  <c r="BC31" i="6" s="1"/>
  <c r="BP30" i="6"/>
  <c r="BP31" i="6" s="1"/>
  <c r="AD29" i="6"/>
  <c r="AC29" i="6"/>
  <c r="W30" i="11" s="1"/>
  <c r="AC30" i="11" s="1"/>
  <c r="AD30" i="11" s="1"/>
  <c r="BO30" i="6"/>
  <c r="BO31" i="6" s="1"/>
  <c r="GO29" i="6"/>
  <c r="HS30" i="11" s="1"/>
  <c r="HY30" i="11" s="1"/>
  <c r="HZ30" i="11" s="1"/>
  <c r="GP29" i="6"/>
  <c r="AR29" i="6"/>
  <c r="AQ29" i="6"/>
  <c r="AN30" i="11" s="1"/>
  <c r="AT30" i="11" s="1"/>
  <c r="AU30" i="11" s="1"/>
  <c r="ED30" i="6"/>
  <c r="FE31" i="11"/>
  <c r="FE32" i="11" s="1"/>
  <c r="EF30" i="6"/>
  <c r="EC30" i="6"/>
  <c r="EE30" i="6"/>
  <c r="EY29" i="6"/>
  <c r="FT30" i="11" s="1"/>
  <c r="FZ30" i="11" s="1"/>
  <c r="GA30" i="11" s="1"/>
  <c r="EZ29" i="6"/>
  <c r="BB30" i="6"/>
  <c r="BB31" i="6" s="1"/>
  <c r="DX29" i="6"/>
  <c r="DW29" i="6"/>
  <c r="EL30" i="11" s="1"/>
  <c r="ER30" i="11" s="1"/>
  <c r="ES30" i="11" s="1"/>
  <c r="DJ29" i="6"/>
  <c r="DI29" i="6"/>
  <c r="DU30" i="11" s="1"/>
  <c r="EA30" i="11" s="1"/>
  <c r="EB30" i="11" s="1"/>
  <c r="BD30" i="6"/>
  <c r="BD31" i="6" s="1"/>
  <c r="HC30" i="6"/>
  <c r="GA30" i="6" l="1"/>
  <c r="EY30" i="6"/>
  <c r="EZ30" i="6"/>
  <c r="EZ31" i="6" s="1"/>
  <c r="GB30" i="6"/>
  <c r="GB31" i="6" s="1"/>
  <c r="HB31" i="11"/>
  <c r="GA31" i="6"/>
  <c r="DT30" i="6"/>
  <c r="DP31" i="6"/>
  <c r="IH31" i="11"/>
  <c r="IH32" i="11" s="1"/>
  <c r="HB31" i="6"/>
  <c r="U31" i="11"/>
  <c r="U32" i="11" s="1"/>
  <c r="AB31" i="6"/>
  <c r="GK30" i="6"/>
  <c r="GG31" i="6"/>
  <c r="BR30" i="6"/>
  <c r="BR31" i="6" s="1"/>
  <c r="BN31" i="6"/>
  <c r="AD30" i="6"/>
  <c r="AD31" i="6" s="1"/>
  <c r="FR31" i="11"/>
  <c r="FR32" i="11" s="1"/>
  <c r="EX31" i="6"/>
  <c r="DU30" i="6"/>
  <c r="DU31" i="6" s="1"/>
  <c r="DQ31" i="6"/>
  <c r="O30" i="6"/>
  <c r="GL30" i="6"/>
  <c r="GL31" i="6" s="1"/>
  <c r="GH31" i="6"/>
  <c r="DB31" i="11"/>
  <c r="DB32" i="11" s="1"/>
  <c r="CT31" i="6"/>
  <c r="DV30" i="6"/>
  <c r="DR31" i="6"/>
  <c r="AC30" i="6"/>
  <c r="EI30" i="6"/>
  <c r="EI31" i="6" s="1"/>
  <c r="EE31" i="6"/>
  <c r="P30" i="6"/>
  <c r="P31" i="6" s="1"/>
  <c r="D31" i="11"/>
  <c r="D32" i="11" s="1"/>
  <c r="N31" i="6"/>
  <c r="FM30" i="6"/>
  <c r="FN30" i="6"/>
  <c r="FN31" i="6" s="1"/>
  <c r="EG30" i="6"/>
  <c r="EG31" i="6" s="1"/>
  <c r="EC31" i="6"/>
  <c r="EJ30" i="6"/>
  <c r="EF31" i="6"/>
  <c r="HD30" i="6"/>
  <c r="HD31" i="6" s="1"/>
  <c r="GI31" i="11"/>
  <c r="GI32" i="11" s="1"/>
  <c r="FL31" i="6"/>
  <c r="FT31" i="11"/>
  <c r="EY31" i="6"/>
  <c r="GN30" i="6"/>
  <c r="GJ31" i="6"/>
  <c r="GM30" i="6"/>
  <c r="GM31" i="6" s="1"/>
  <c r="GI31" i="6"/>
  <c r="DF30" i="6"/>
  <c r="DF31" i="6" s="1"/>
  <c r="DB31" i="6"/>
  <c r="DS31" i="11"/>
  <c r="DS32" i="11" s="1"/>
  <c r="DH31" i="6"/>
  <c r="IJ31" i="11"/>
  <c r="IJ32" i="11" s="1"/>
  <c r="HC31" i="6"/>
  <c r="CV30" i="6"/>
  <c r="CV31" i="6" s="1"/>
  <c r="EH30" i="6"/>
  <c r="EH31" i="6" s="1"/>
  <c r="ED31" i="6"/>
  <c r="CU30" i="6"/>
  <c r="GZ31" i="11"/>
  <c r="GZ32" i="11" s="1"/>
  <c r="FZ31" i="6"/>
  <c r="FT32" i="11"/>
  <c r="HB32" i="11"/>
  <c r="H57" i="11"/>
  <c r="BQ30" i="6"/>
  <c r="BQ31" i="6" s="1"/>
  <c r="CE30" i="6"/>
  <c r="CE31" i="6" s="1"/>
  <c r="CC30" i="6"/>
  <c r="CC31" i="6" s="1"/>
  <c r="AP30" i="6"/>
  <c r="AP31" i="6" s="1"/>
  <c r="CF30" i="6"/>
  <c r="CF31" i="6" s="1"/>
  <c r="BE30" i="6"/>
  <c r="BE31" i="6" s="1"/>
  <c r="BF30" i="6"/>
  <c r="BF31" i="6" s="1"/>
  <c r="AO30" i="6"/>
  <c r="AO31" i="6" s="1"/>
  <c r="BS30" i="6"/>
  <c r="BS31" i="6" s="1"/>
  <c r="AM30" i="6"/>
  <c r="AM31" i="6" s="1"/>
  <c r="BC31" i="11"/>
  <c r="BC32" i="11" s="1"/>
  <c r="AN30" i="6"/>
  <c r="AN31" i="6" s="1"/>
  <c r="BT31" i="11"/>
  <c r="BT32" i="11" s="1"/>
  <c r="CD30" i="6"/>
  <c r="CD31" i="6" s="1"/>
  <c r="BT30" i="6" l="1"/>
  <c r="BT31" i="6" s="1"/>
  <c r="IP31" i="11"/>
  <c r="W31" i="11"/>
  <c r="AC31" i="6"/>
  <c r="EJ31" i="11"/>
  <c r="DV31" i="6"/>
  <c r="GK31" i="6"/>
  <c r="GP30" i="6"/>
  <c r="GP31" i="6" s="1"/>
  <c r="GO30" i="6"/>
  <c r="HQ31" i="11"/>
  <c r="GN31" i="6"/>
  <c r="FZ31" i="11"/>
  <c r="FA31" i="11"/>
  <c r="FA32" i="11" s="1"/>
  <c r="EJ31" i="6"/>
  <c r="DD31" i="11"/>
  <c r="CU31" i="6"/>
  <c r="EK30" i="6"/>
  <c r="DX30" i="6"/>
  <c r="DX31" i="6" s="1"/>
  <c r="F31" i="11"/>
  <c r="O31" i="6"/>
  <c r="DI30" i="6"/>
  <c r="DW30" i="6"/>
  <c r="DT31" i="6"/>
  <c r="HH31" i="11"/>
  <c r="HI31" i="11" s="1"/>
  <c r="HI32" i="11" s="1"/>
  <c r="DJ30" i="6"/>
  <c r="DJ31" i="6" s="1"/>
  <c r="EL30" i="6"/>
  <c r="EL31" i="6" s="1"/>
  <c r="GK31" i="11"/>
  <c r="FM31" i="6"/>
  <c r="GA31" i="11"/>
  <c r="GA32" i="11" s="1"/>
  <c r="FZ32" i="11"/>
  <c r="IQ31" i="11"/>
  <c r="IQ32" i="11" s="1"/>
  <c r="IP32" i="11"/>
  <c r="CH30" i="6"/>
  <c r="CH31" i="6" s="1"/>
  <c r="CG30" i="6"/>
  <c r="CG31" i="6" s="1"/>
  <c r="AQ30" i="6"/>
  <c r="AQ31" i="6" s="1"/>
  <c r="AR30" i="6"/>
  <c r="AR31" i="6" s="1"/>
  <c r="AL31" i="11"/>
  <c r="AL32" i="11" s="1"/>
  <c r="BV31" i="11"/>
  <c r="BE31" i="11"/>
  <c r="CK31" i="11"/>
  <c r="CK32" i="11" s="1"/>
  <c r="FC31" i="11" l="1"/>
  <c r="EK31" i="6"/>
  <c r="DJ31" i="11"/>
  <c r="DD32" i="11"/>
  <c r="GQ31" i="11"/>
  <c r="GK32" i="11"/>
  <c r="HS31" i="11"/>
  <c r="HS32" i="11" s="1"/>
  <c r="GO31" i="6"/>
  <c r="HH32" i="11"/>
  <c r="EL31" i="11"/>
  <c r="EL32" i="11" s="1"/>
  <c r="DW31" i="6"/>
  <c r="DU31" i="11"/>
  <c r="DI31" i="6"/>
  <c r="EJ32" i="11"/>
  <c r="D57" i="11" s="1"/>
  <c r="ER31" i="11"/>
  <c r="HQ32" i="11"/>
  <c r="F32" i="11"/>
  <c r="L31" i="11"/>
  <c r="AC31" i="11"/>
  <c r="W32" i="11"/>
  <c r="BK31" i="11"/>
  <c r="BE32" i="11"/>
  <c r="CB31" i="11"/>
  <c r="BV32" i="11"/>
  <c r="CM31" i="11"/>
  <c r="AN31" i="11"/>
  <c r="AN32" i="11" s="1"/>
  <c r="AT31" i="11"/>
  <c r="AT32" i="11" s="1"/>
  <c r="GQ32" i="11" l="1"/>
  <c r="GR31" i="11"/>
  <c r="GR32" i="11" s="1"/>
  <c r="L32" i="11"/>
  <c r="M31" i="11"/>
  <c r="S32" i="11" s="1"/>
  <c r="ES31" i="11"/>
  <c r="ES32" i="11" s="1"/>
  <c r="ER32" i="11"/>
  <c r="AC32" i="11"/>
  <c r="AD31" i="11"/>
  <c r="AD32" i="11" s="1"/>
  <c r="AJ32" i="11" s="1"/>
  <c r="DU32" i="11"/>
  <c r="F57" i="11" s="1"/>
  <c r="EA31" i="11"/>
  <c r="DK31" i="11"/>
  <c r="DJ32" i="11"/>
  <c r="HY31" i="11"/>
  <c r="FC32" i="11"/>
  <c r="FI31" i="11"/>
  <c r="CC31" i="11"/>
  <c r="CC32" i="11" s="1"/>
  <c r="CI32" i="11" s="1"/>
  <c r="B44" i="11" s="1"/>
  <c r="CB32" i="11"/>
  <c r="CS31" i="11"/>
  <c r="CM32" i="11"/>
  <c r="BL31" i="11"/>
  <c r="BL32" i="11" s="1"/>
  <c r="BK32" i="11"/>
  <c r="AU31" i="11"/>
  <c r="AU32" i="11" s="1"/>
  <c r="C43" i="11"/>
  <c r="E43" i="11" s="1"/>
  <c r="BR32" i="11"/>
  <c r="B43" i="11" s="1"/>
  <c r="FJ31" i="11" l="1"/>
  <c r="FJ32" i="11" s="1"/>
  <c r="FI32" i="11"/>
  <c r="HZ31" i="11"/>
  <c r="HZ32" i="11" s="1"/>
  <c r="HY32" i="11"/>
  <c r="EB31" i="11"/>
  <c r="EB32" i="11" s="1"/>
  <c r="EA32" i="11"/>
  <c r="C44" i="11"/>
  <c r="E44" i="11" s="1"/>
  <c r="CT31" i="11"/>
  <c r="CT32" i="11" s="1"/>
  <c r="M57" i="11" s="1"/>
  <c r="S57" i="11" s="1"/>
  <c r="CS32" i="11"/>
  <c r="L57" i="11" s="1"/>
  <c r="BA32" i="11"/>
  <c r="C40" i="11"/>
  <c r="E40" i="11" s="1"/>
  <c r="C42" i="11"/>
  <c r="E42" i="11" s="1"/>
  <c r="B42" i="11"/>
  <c r="CZ32" i="11"/>
  <c r="B45" i="11" s="1"/>
  <c r="C45" i="11"/>
  <c r="E45" i="11" s="1"/>
  <c r="C54" i="11" l="1"/>
  <c r="IW32" i="11"/>
  <c r="B40" i="11"/>
  <c r="C46" i="11"/>
  <c r="E46" i="11" s="1"/>
  <c r="E39" i="11" s="1"/>
  <c r="C52" i="11"/>
  <c r="E52" i="11" s="1"/>
  <c r="HO32" i="11"/>
  <c r="B52" i="11" s="1"/>
  <c r="GX32" i="11"/>
  <c r="B51" i="11" s="1"/>
  <c r="C51" i="11"/>
  <c r="E51" i="11" s="1"/>
  <c r="FP32" i="11"/>
  <c r="B49" i="11" s="1"/>
  <c r="C49" i="11"/>
  <c r="E49" i="11" s="1"/>
  <c r="C41" i="11"/>
  <c r="E41" i="11" s="1"/>
  <c r="B41" i="11"/>
  <c r="B54" i="11"/>
  <c r="B39" i="11" l="1"/>
  <c r="IF32" i="11"/>
  <c r="B53" i="11" s="1"/>
  <c r="C53" i="11"/>
  <c r="E53" i="11" s="1"/>
  <c r="EY32" i="11"/>
  <c r="B48" i="11" s="1"/>
  <c r="C48" i="11"/>
  <c r="E48" i="11" s="1"/>
  <c r="C47" i="11"/>
  <c r="E47" i="11" s="1"/>
  <c r="EH32" i="11"/>
  <c r="B47" i="11" s="1"/>
  <c r="GG32" i="11"/>
  <c r="B50" i="11" s="1"/>
  <c r="E54" i="11"/>
  <c r="C39" i="1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tc={0AF42432-CA6E-4A36-AD7C-6B68709A2101}</author>
  </authors>
  <commentList>
    <comment ref="C2" authorId="0" shapeId="0" xr:uid="{0AF42432-CA6E-4A36-AD7C-6B68709A2101}">
      <text>
        <t>[Threaded comment]
Your version of Excel allows you to read this threaded comment; however, any edits to it will get removed if the file is opened in a newer version of Excel. Learn more: https://go.microsoft.com/fwlink/?linkid=870924
Comment:
    Change label to 2021. The values are correct, though.</t>
      </text>
    </comment>
  </commentList>
</comments>
</file>

<file path=xl/sharedStrings.xml><?xml version="1.0" encoding="utf-8"?>
<sst xmlns="http://schemas.openxmlformats.org/spreadsheetml/2006/main" count="1352" uniqueCount="474">
  <si>
    <t>Improvement</t>
  </si>
  <si>
    <t>CRF</t>
  </si>
  <si>
    <t>CMF</t>
  </si>
  <si>
    <t>Type</t>
  </si>
  <si>
    <t>Source</t>
  </si>
  <si>
    <t>Ped crashes</t>
  </si>
  <si>
    <t>KABCO Level</t>
  </si>
  <si>
    <t>K</t>
  </si>
  <si>
    <t>A</t>
  </si>
  <si>
    <t>B</t>
  </si>
  <si>
    <t>C</t>
  </si>
  <si>
    <t>O</t>
  </si>
  <si>
    <t>U</t>
  </si>
  <si>
    <t>PDO</t>
  </si>
  <si>
    <t>No Build Crashes (Historical Conditions)</t>
  </si>
  <si>
    <t xml:space="preserve">Build Anticipated Crashes </t>
  </si>
  <si>
    <t xml:space="preserve">B </t>
  </si>
  <si>
    <t>Search Distance</t>
  </si>
  <si>
    <t>Annual Crash Cost</t>
  </si>
  <si>
    <t>Applicable crashes</t>
  </si>
  <si>
    <t>Anticipated Annual Crash Cost</t>
  </si>
  <si>
    <t>Safety Benefit</t>
  </si>
  <si>
    <t>Total</t>
  </si>
  <si>
    <t>Crash Cost Source: RAISE BCA Table A-3</t>
  </si>
  <si>
    <t>Ped Crashes by Division and City</t>
  </si>
  <si>
    <t>Total Crashes (10-Year)*</t>
  </si>
  <si>
    <t>Division 9 - LEXINGTON</t>
  </si>
  <si>
    <t>Division 2 - KINSTON</t>
  </si>
  <si>
    <t>Division 2 - WASHINGTON</t>
  </si>
  <si>
    <t>Division 5 - HENDERSON</t>
  </si>
  <si>
    <t>Division 5 - OXFORD</t>
  </si>
  <si>
    <t>Division 6 - LUMBERTON</t>
  </si>
  <si>
    <t>Division 8 - HAMLET</t>
  </si>
  <si>
    <t>Division 8 - SILER CITY</t>
  </si>
  <si>
    <t>Division 9 - SALISBURY</t>
  </si>
  <si>
    <t>Division 4 - ROANOKE RAPIDS</t>
  </si>
  <si>
    <t>Division 4 - SELMA</t>
  </si>
  <si>
    <t>Division 4 - SMITHFIELD</t>
  </si>
  <si>
    <t>Division 4 - WELDON</t>
  </si>
  <si>
    <t>Division 4 - WILSON</t>
  </si>
  <si>
    <t>Division 8 - ROCKINGHAM</t>
  </si>
  <si>
    <t>Hamlet</t>
  </si>
  <si>
    <t>Henderson</t>
  </si>
  <si>
    <t>Kinston</t>
  </si>
  <si>
    <t>Lexington</t>
  </si>
  <si>
    <t>Lumberton</t>
  </si>
  <si>
    <t>Oxford</t>
  </si>
  <si>
    <t>Roanoke Rapids</t>
  </si>
  <si>
    <t>Rockingham</t>
  </si>
  <si>
    <t>Salisbury</t>
  </si>
  <si>
    <t>Selma</t>
  </si>
  <si>
    <t>Siler City</t>
  </si>
  <si>
    <t>Smithfield</t>
  </si>
  <si>
    <t>Washington</t>
  </si>
  <si>
    <t>Weldon</t>
  </si>
  <si>
    <t>Wilson</t>
  </si>
  <si>
    <t>Countermeasures</t>
  </si>
  <si>
    <t>Crosswalk, Pedestrian Signals, LPI</t>
  </si>
  <si>
    <t>Year</t>
  </si>
  <si>
    <t>Wilson, NC</t>
  </si>
  <si>
    <t>Signal</t>
  </si>
  <si>
    <t>Exposure Estimate (24H)</t>
  </si>
  <si>
    <t>04-0162</t>
  </si>
  <si>
    <t>04-0282</t>
  </si>
  <si>
    <t>04-0292</t>
  </si>
  <si>
    <t>04-0294</t>
  </si>
  <si>
    <t>04-0296</t>
  </si>
  <si>
    <t>04-0298</t>
  </si>
  <si>
    <t>04-0299</t>
  </si>
  <si>
    <t>04-0300</t>
  </si>
  <si>
    <t>04-0301</t>
  </si>
  <si>
    <t>04-0303</t>
  </si>
  <si>
    <t>04-0305</t>
  </si>
  <si>
    <t>04-0306</t>
  </si>
  <si>
    <t>04-0307</t>
  </si>
  <si>
    <t>04-0309</t>
  </si>
  <si>
    <t>04-0310</t>
  </si>
  <si>
    <t>04-0316</t>
  </si>
  <si>
    <t>04-0321</t>
  </si>
  <si>
    <t>04-0322</t>
  </si>
  <si>
    <t>04-0324</t>
  </si>
  <si>
    <t>04-0325</t>
  </si>
  <si>
    <t>04-0329</t>
  </si>
  <si>
    <t>04-0332</t>
  </si>
  <si>
    <t>04-0334</t>
  </si>
  <si>
    <t>04-0336</t>
  </si>
  <si>
    <t>04-0348</t>
  </si>
  <si>
    <t>04-0349</t>
  </si>
  <si>
    <t>04-0350</t>
  </si>
  <si>
    <t>04-0351</t>
  </si>
  <si>
    <t>04-0398</t>
  </si>
  <si>
    <t>04-0478</t>
  </si>
  <si>
    <t>04-0593</t>
  </si>
  <si>
    <t>04-0602</t>
  </si>
  <si>
    <t>Metric Tons Reduced Per Year from Build VMT Reductions</t>
  </si>
  <si>
    <t>Emissions Reductions Multipliers</t>
  </si>
  <si>
    <r>
      <t>NO</t>
    </r>
    <r>
      <rPr>
        <b/>
        <vertAlign val="subscript"/>
        <sz val="11"/>
        <color theme="1"/>
        <rFont val="Calibri"/>
        <family val="2"/>
        <scheme val="minor"/>
      </rPr>
      <t>X</t>
    </r>
  </si>
  <si>
    <r>
      <t>SO</t>
    </r>
    <r>
      <rPr>
        <b/>
        <vertAlign val="subscript"/>
        <sz val="11"/>
        <color theme="1"/>
        <rFont val="Calibri"/>
        <family val="2"/>
        <scheme val="minor"/>
      </rPr>
      <t>X</t>
    </r>
  </si>
  <si>
    <t>PM2.5</t>
  </si>
  <si>
    <r>
      <t>CO</t>
    </r>
    <r>
      <rPr>
        <b/>
        <vertAlign val="subscript"/>
        <sz val="11"/>
        <color theme="1"/>
        <rFont val="Calibri"/>
        <family val="2"/>
        <scheme val="minor"/>
      </rPr>
      <t>2</t>
    </r>
  </si>
  <si>
    <t>Total (Excluding CO2)</t>
  </si>
  <si>
    <t>Total for All Pollutants</t>
  </si>
  <si>
    <t>Emissions Rate (g/mile)</t>
  </si>
  <si>
    <t>Passenger Car</t>
  </si>
  <si>
    <t>CO2</t>
  </si>
  <si>
    <t xml:space="preserve">NOx </t>
  </si>
  <si>
    <t>SO2</t>
  </si>
  <si>
    <t>Source: EPA Report EPA420-F-08-024</t>
  </si>
  <si>
    <t>Input is from VMT replaced from induced pedestrian trips</t>
  </si>
  <si>
    <t>Source: RAISE BCA Table A-6</t>
  </si>
  <si>
    <t>Vehicle Type</t>
  </si>
  <si>
    <t>Light Duty Vehicle</t>
  </si>
  <si>
    <t>Commercial Trucks</t>
  </si>
  <si>
    <t>Source: RAISE BCA Table A-5</t>
  </si>
  <si>
    <t>*The light duty vehicle value was used exclusively due to the likely nature of induced walking trips from residents who are using vehicles
other than commercial trucks for local trips</t>
  </si>
  <si>
    <t xml:space="preserve">Total Residual Value </t>
  </si>
  <si>
    <t>Trip Type</t>
  </si>
  <si>
    <t>Demand/Activity Multipliers</t>
  </si>
  <si>
    <t>Factor</t>
  </si>
  <si>
    <t>Utilitarian Walk Trip Multiplier</t>
  </si>
  <si>
    <t>Source: NHTS 2017</t>
  </si>
  <si>
    <t>Commute - Walk</t>
  </si>
  <si>
    <t>NHTS, 2017</t>
  </si>
  <si>
    <t>Utilitarian - Walk</t>
  </si>
  <si>
    <t>Summary Mode Share Inputs Table</t>
  </si>
  <si>
    <t>Baseline</t>
  </si>
  <si>
    <t>Trip Replacement Multiplier</t>
  </si>
  <si>
    <t>Work</t>
  </si>
  <si>
    <t>Walk</t>
  </si>
  <si>
    <t>Benefits</t>
  </si>
  <si>
    <t>Costs</t>
  </si>
  <si>
    <t xml:space="preserve">Safety </t>
  </si>
  <si>
    <t>Environmental Sustainability</t>
  </si>
  <si>
    <t>Quality of Life</t>
  </si>
  <si>
    <t>Useful Life</t>
  </si>
  <si>
    <t>Discount Year</t>
  </si>
  <si>
    <t>Safety (Crash Reduction)</t>
  </si>
  <si>
    <r>
      <t>Sustainability - Emissions (CO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)</t>
    </r>
  </si>
  <si>
    <t>Sustainability - Water quality</t>
  </si>
  <si>
    <r>
      <t>Health - Emissions (SO</t>
    </r>
    <r>
      <rPr>
        <vertAlign val="subscript"/>
        <sz val="11"/>
        <color theme="1"/>
        <rFont val="Calibri"/>
        <family val="2"/>
        <scheme val="minor"/>
      </rPr>
      <t>x</t>
    </r>
    <r>
      <rPr>
        <sz val="11"/>
        <color theme="1"/>
        <rFont val="Calibri"/>
        <family val="2"/>
        <scheme val="minor"/>
      </rPr>
      <t>, NO</t>
    </r>
    <r>
      <rPr>
        <vertAlign val="subscript"/>
        <sz val="11"/>
        <color theme="1"/>
        <rFont val="Calibri"/>
        <family val="2"/>
        <scheme val="minor"/>
      </rPr>
      <t>X</t>
    </r>
    <r>
      <rPr>
        <sz val="11"/>
        <color theme="1"/>
        <rFont val="Calibri"/>
        <family val="2"/>
        <scheme val="minor"/>
      </rPr>
      <t>, PM2.5)</t>
    </r>
  </si>
  <si>
    <t>Health - Mortality Reduction Benefits from Walking</t>
  </si>
  <si>
    <t>Economic Activity - Reduced operating costs from mode shift</t>
  </si>
  <si>
    <t>State of good repair</t>
  </si>
  <si>
    <t xml:space="preserve">Useful Life (residual  value) </t>
  </si>
  <si>
    <t>Travel time savings</t>
  </si>
  <si>
    <t>Benefits Total (Undiscounted)</t>
  </si>
  <si>
    <t>Benefits (Discounted)</t>
  </si>
  <si>
    <t>Capital Expenditures</t>
  </si>
  <si>
    <t>Travel Time</t>
  </si>
  <si>
    <t>Costs Total (Undiscounted)</t>
  </si>
  <si>
    <t>Costs Total (Discounted)</t>
  </si>
  <si>
    <t>Benefit-Cost Ratio</t>
  </si>
  <si>
    <t>Net Present Value</t>
  </si>
  <si>
    <t>Crosswalk, Pedestrian Signal, LPI</t>
  </si>
  <si>
    <t>SOV</t>
  </si>
  <si>
    <t>2021 ACS 5-Year Estimates, workers 16+</t>
  </si>
  <si>
    <t>Carpool</t>
  </si>
  <si>
    <t>Transit</t>
  </si>
  <si>
    <t>Other</t>
  </si>
  <si>
    <t>NHTS 2020 Annual Passenger Trips by Purpose, NC</t>
  </si>
  <si>
    <t>Non Work</t>
  </si>
  <si>
    <t>Walk Mode Share</t>
  </si>
  <si>
    <t>Nonwork</t>
  </si>
  <si>
    <t>County</t>
  </si>
  <si>
    <t xml:space="preserve"> July 1, 2020 Population Estimate </t>
  </si>
  <si>
    <t xml:space="preserve"> July 1, 2030 Projection </t>
  </si>
  <si>
    <t xml:space="preserve"> July 1, 2040 Projection </t>
  </si>
  <si>
    <t xml:space="preserve"> July 1, 2050 Projection </t>
  </si>
  <si>
    <t>Beaufort</t>
  </si>
  <si>
    <t>Chatham</t>
  </si>
  <si>
    <t>Davidson</t>
  </si>
  <si>
    <t>Granville</t>
  </si>
  <si>
    <t>Roanoke Rapids, Weldon</t>
  </si>
  <si>
    <t>Halifax</t>
  </si>
  <si>
    <t>Smithfield, Selma</t>
  </si>
  <si>
    <t>Johnston</t>
  </si>
  <si>
    <t>Lenoir</t>
  </si>
  <si>
    <t>Rockingham, Hamlet</t>
  </si>
  <si>
    <t>Richmond</t>
  </si>
  <si>
    <t>Robeson</t>
  </si>
  <si>
    <t>Rowan</t>
  </si>
  <si>
    <t>Vance</t>
  </si>
  <si>
    <t>State</t>
  </si>
  <si>
    <t>Increase from baseline</t>
  </si>
  <si>
    <t>KINSTON</t>
  </si>
  <si>
    <t>WASHINGTON</t>
  </si>
  <si>
    <t>ROANOKE RAPIDS</t>
  </si>
  <si>
    <t>SELMA</t>
  </si>
  <si>
    <t>SMITHFIELD</t>
  </si>
  <si>
    <t>WELDON</t>
  </si>
  <si>
    <t>WILSON</t>
  </si>
  <si>
    <t>HENDERSON</t>
  </si>
  <si>
    <t>OXFORD</t>
  </si>
  <si>
    <t>LUMBERTON</t>
  </si>
  <si>
    <t>HAMLET</t>
  </si>
  <si>
    <t>ROCKINGHAM</t>
  </si>
  <si>
    <t>SILER CITY</t>
  </si>
  <si>
    <t>LEXINGTON</t>
  </si>
  <si>
    <t>SALISBURY</t>
  </si>
  <si>
    <t>Average County Annual Growth Rate</t>
  </si>
  <si>
    <t>Annual Increase in Walking to reach 3% Mode Share</t>
  </si>
  <si>
    <t>Source: RAISE BCA Table A-13</t>
  </si>
  <si>
    <t>Value Per Induced Walking Trip</t>
  </si>
  <si>
    <t>Baseline (Annualized Total for Each Municipality's Intersection Locations)</t>
  </si>
  <si>
    <t>Induced (Annualized Pedestrian Total for Each Municipality's Improved Intersections)</t>
  </si>
  <si>
    <t>Mortality Reduction (Annualized, 2021 USD)</t>
  </si>
  <si>
    <t>Induced Trips (Annualized)</t>
  </si>
  <si>
    <t>Total Residual Value</t>
  </si>
  <si>
    <t>Total Capital Expenditure by Year</t>
  </si>
  <si>
    <t>08-0159</t>
  </si>
  <si>
    <t>08-0167</t>
  </si>
  <si>
    <t>08-0170</t>
  </si>
  <si>
    <t>08-0172</t>
  </si>
  <si>
    <t>08-0173</t>
  </si>
  <si>
    <t>08-0405</t>
  </si>
  <si>
    <t>05-0453</t>
  </si>
  <si>
    <t>05-0552</t>
  </si>
  <si>
    <t>05-0553</t>
  </si>
  <si>
    <t>05-0554</t>
  </si>
  <si>
    <t>05-0555</t>
  </si>
  <si>
    <t>05-0557</t>
  </si>
  <si>
    <t>05-0559</t>
  </si>
  <si>
    <t>05-0560</t>
  </si>
  <si>
    <t>05-0561</t>
  </si>
  <si>
    <t>05-0562</t>
  </si>
  <si>
    <t>05-0563</t>
  </si>
  <si>
    <t>05-0564</t>
  </si>
  <si>
    <t>05-0565</t>
  </si>
  <si>
    <t>05-0566</t>
  </si>
  <si>
    <t>05-0580</t>
  </si>
  <si>
    <t>05-0851</t>
  </si>
  <si>
    <t>02-0100</t>
  </si>
  <si>
    <t>02-0103</t>
  </si>
  <si>
    <t>02-0104</t>
  </si>
  <si>
    <t>02-0105</t>
  </si>
  <si>
    <t>02-0106</t>
  </si>
  <si>
    <t>02-0108</t>
  </si>
  <si>
    <t>02-0109</t>
  </si>
  <si>
    <t>02-0110</t>
  </si>
  <si>
    <t>02-0111</t>
  </si>
  <si>
    <t>02-0112</t>
  </si>
  <si>
    <t>02-0113</t>
  </si>
  <si>
    <t>02-0114</t>
  </si>
  <si>
    <t>02-0115</t>
  </si>
  <si>
    <t>02-0116</t>
  </si>
  <si>
    <t>02-0117</t>
  </si>
  <si>
    <t>02-0118</t>
  </si>
  <si>
    <t>02-0121</t>
  </si>
  <si>
    <t>02-0122</t>
  </si>
  <si>
    <t>02-0128</t>
  </si>
  <si>
    <t>02-0129</t>
  </si>
  <si>
    <t>02-0132</t>
  </si>
  <si>
    <t>02-0138</t>
  </si>
  <si>
    <t>02-0140</t>
  </si>
  <si>
    <t>02-0147</t>
  </si>
  <si>
    <t>02-0313</t>
  </si>
  <si>
    <t>02-0344</t>
  </si>
  <si>
    <t>02-0448</t>
  </si>
  <si>
    <t>02-0517</t>
  </si>
  <si>
    <t>02-0674</t>
  </si>
  <si>
    <t>02-0890</t>
  </si>
  <si>
    <t>09-0233</t>
  </si>
  <si>
    <t>09-0326</t>
  </si>
  <si>
    <t>09-0401</t>
  </si>
  <si>
    <t>09-0403</t>
  </si>
  <si>
    <t>09-0405</t>
  </si>
  <si>
    <t>09-0406</t>
  </si>
  <si>
    <t>09-0408</t>
  </si>
  <si>
    <t>09-0409</t>
  </si>
  <si>
    <t>09-0410</t>
  </si>
  <si>
    <t>09-0412</t>
  </si>
  <si>
    <t>09-0413</t>
  </si>
  <si>
    <t>09-0416</t>
  </si>
  <si>
    <t>09-0418</t>
  </si>
  <si>
    <t>09-0419</t>
  </si>
  <si>
    <t>09-0420</t>
  </si>
  <si>
    <t>09-0421</t>
  </si>
  <si>
    <t>09-0422</t>
  </si>
  <si>
    <t>09-0423</t>
  </si>
  <si>
    <t>09-0424</t>
  </si>
  <si>
    <t>09-0425</t>
  </si>
  <si>
    <t>09-0427</t>
  </si>
  <si>
    <t>09-0435</t>
  </si>
  <si>
    <t>09-0441</t>
  </si>
  <si>
    <t>09-0610</t>
  </si>
  <si>
    <t>09-0639</t>
  </si>
  <si>
    <t>06-0159</t>
  </si>
  <si>
    <t>06-0181</t>
  </si>
  <si>
    <t>06-0182</t>
  </si>
  <si>
    <t>06-0184</t>
  </si>
  <si>
    <t>06-0185</t>
  </si>
  <si>
    <t>06-0186</t>
  </si>
  <si>
    <t>06-0189</t>
  </si>
  <si>
    <t>06-0193</t>
  </si>
  <si>
    <t>06-0214</t>
  </si>
  <si>
    <t>06-0287</t>
  </si>
  <si>
    <t>06-0331</t>
  </si>
  <si>
    <t>06-0343</t>
  </si>
  <si>
    <t>06-0447</t>
  </si>
  <si>
    <t>06-0696</t>
  </si>
  <si>
    <t>06-0976</t>
  </si>
  <si>
    <t>06-1173</t>
  </si>
  <si>
    <t>06-1233</t>
  </si>
  <si>
    <t>05-0295</t>
  </si>
  <si>
    <t>05-0515</t>
  </si>
  <si>
    <t>05-0516</t>
  </si>
  <si>
    <t>05-0569</t>
  </si>
  <si>
    <t>05-0570</t>
  </si>
  <si>
    <t>05-0571</t>
  </si>
  <si>
    <t>05-0572</t>
  </si>
  <si>
    <t>05-0573</t>
  </si>
  <si>
    <t>05-0574</t>
  </si>
  <si>
    <t>05-0575</t>
  </si>
  <si>
    <t>05-0577</t>
  </si>
  <si>
    <t>05-1337</t>
  </si>
  <si>
    <t>05-1466</t>
  </si>
  <si>
    <t>05-1903</t>
  </si>
  <si>
    <t>05-1904</t>
  </si>
  <si>
    <t>04-0137</t>
  </si>
  <si>
    <t>04-0138</t>
  </si>
  <si>
    <t>04-0139</t>
  </si>
  <si>
    <t>04-0140</t>
  </si>
  <si>
    <t>04-0141</t>
  </si>
  <si>
    <t>04-0142</t>
  </si>
  <si>
    <t>04-0143</t>
  </si>
  <si>
    <t>04-0144</t>
  </si>
  <si>
    <t>04-0145</t>
  </si>
  <si>
    <t>04-0147</t>
  </si>
  <si>
    <t>04-0150</t>
  </si>
  <si>
    <t>04-0151</t>
  </si>
  <si>
    <t>04-0153</t>
  </si>
  <si>
    <t>04-0155</t>
  </si>
  <si>
    <t>04-0366</t>
  </si>
  <si>
    <t>04-0677</t>
  </si>
  <si>
    <t>04-0734</t>
  </si>
  <si>
    <t>04-1285</t>
  </si>
  <si>
    <t>04-1335</t>
  </si>
  <si>
    <t>08-0158</t>
  </si>
  <si>
    <t>08-0178</t>
  </si>
  <si>
    <t>08-0179</t>
  </si>
  <si>
    <t>08-0182</t>
  </si>
  <si>
    <t>08-0185</t>
  </si>
  <si>
    <t>08-0188</t>
  </si>
  <si>
    <t>08-0194</t>
  </si>
  <si>
    <t>08-0196</t>
  </si>
  <si>
    <t>08-0252</t>
  </si>
  <si>
    <t>08-0924</t>
  </si>
  <si>
    <t>08-1104</t>
  </si>
  <si>
    <t>09-0202</t>
  </si>
  <si>
    <t>09-0203</t>
  </si>
  <si>
    <t>09-0204</t>
  </si>
  <si>
    <t>09-0206</t>
  </si>
  <si>
    <t>09-0207</t>
  </si>
  <si>
    <t>09-0210</t>
  </si>
  <si>
    <t>09-0212</t>
  </si>
  <si>
    <t>09-0219</t>
  </si>
  <si>
    <t>09-0220</t>
  </si>
  <si>
    <t>09-0221</t>
  </si>
  <si>
    <t>09-0225</t>
  </si>
  <si>
    <t>09-0226</t>
  </si>
  <si>
    <t>09-0227</t>
  </si>
  <si>
    <t>09-0231</t>
  </si>
  <si>
    <t>09-0235</t>
  </si>
  <si>
    <t>09-0236</t>
  </si>
  <si>
    <t>09-0247</t>
  </si>
  <si>
    <t>09-0277</t>
  </si>
  <si>
    <t>09-0355</t>
  </si>
  <si>
    <t>09-0358</t>
  </si>
  <si>
    <t>09-0576</t>
  </si>
  <si>
    <t>09-0635</t>
  </si>
  <si>
    <t>09-0915</t>
  </si>
  <si>
    <t>04-0170</t>
  </si>
  <si>
    <t>04-0190</t>
  </si>
  <si>
    <t>04-0191</t>
  </si>
  <si>
    <t>04-0192</t>
  </si>
  <si>
    <t>04-0193</t>
  </si>
  <si>
    <t>04-0392</t>
  </si>
  <si>
    <t>04-1283</t>
  </si>
  <si>
    <t>08-0004</t>
  </si>
  <si>
    <t>08-0005</t>
  </si>
  <si>
    <t>08-0006</t>
  </si>
  <si>
    <t>08-0007</t>
  </si>
  <si>
    <t>08-0008</t>
  </si>
  <si>
    <t>08-0009</t>
  </si>
  <si>
    <t>08-0010</t>
  </si>
  <si>
    <t>08-0011</t>
  </si>
  <si>
    <t>08-0013</t>
  </si>
  <si>
    <t>08-0014</t>
  </si>
  <si>
    <t>08-0243</t>
  </si>
  <si>
    <t>08-0414</t>
  </si>
  <si>
    <t>08-0569</t>
  </si>
  <si>
    <t>04-0196</t>
  </si>
  <si>
    <t>04-0197</t>
  </si>
  <si>
    <t>04-0202</t>
  </si>
  <si>
    <t>04-0215</t>
  </si>
  <si>
    <t>04-0512</t>
  </si>
  <si>
    <t>04-0712</t>
  </si>
  <si>
    <t>04-0800</t>
  </si>
  <si>
    <t>04-0851</t>
  </si>
  <si>
    <t>04-1360</t>
  </si>
  <si>
    <t>04-1416</t>
  </si>
  <si>
    <t>02-0242</t>
  </si>
  <si>
    <t>02-0275</t>
  </si>
  <si>
    <t>02-0276</t>
  </si>
  <si>
    <t>02-0277</t>
  </si>
  <si>
    <t>02-0278</t>
  </si>
  <si>
    <t>02-0279</t>
  </si>
  <si>
    <t>02-0285</t>
  </si>
  <si>
    <t>02-0286</t>
  </si>
  <si>
    <t>02-0288</t>
  </si>
  <si>
    <t>02-0297</t>
  </si>
  <si>
    <t>02-0299</t>
  </si>
  <si>
    <t>04-0132</t>
  </si>
  <si>
    <t>04-0133</t>
  </si>
  <si>
    <t>04-0134</t>
  </si>
  <si>
    <t>04-0135</t>
  </si>
  <si>
    <t>Work Trips</t>
  </si>
  <si>
    <t>Non-Work Trips</t>
  </si>
  <si>
    <t>VMT</t>
  </si>
  <si>
    <t>Vehicle Miles Traveled Reduced</t>
  </si>
  <si>
    <t>New Walking Trips</t>
  </si>
  <si>
    <t>TOTAL</t>
  </si>
  <si>
    <t>Annual Emissions Savings from Build (2021 USD)</t>
  </si>
  <si>
    <t>BCR</t>
  </si>
  <si>
    <t>Discount 
rate (2021)</t>
  </si>
  <si>
    <t>All Other</t>
  </si>
  <si>
    <t>Discounted Cost</t>
  </si>
  <si>
    <t>Discounted Benefit</t>
  </si>
  <si>
    <t>Unknown Injury</t>
  </si>
  <si>
    <t>250' from intersection, per HSM</t>
  </si>
  <si>
    <t>Crash Data Source: NCDOT Traffic Safety Unit, 2012-2021</t>
  </si>
  <si>
    <t xml:space="preserve">*10-year period for pedestrian crashes within 250' of the selected signals. 250' was selected as a buffer based on the best practice guidance in the Highway Safety Manual
</t>
  </si>
  <si>
    <t>Municipalities</t>
  </si>
  <si>
    <t>WALK NC Region</t>
  </si>
  <si>
    <t>Population (2020)</t>
  </si>
  <si>
    <t>Population (2050)</t>
  </si>
  <si>
    <t>Net Growth 2020-2050</t>
  </si>
  <si>
    <t>NHTS 2017</t>
  </si>
  <si>
    <t>Vehicle Crashes by Division and City</t>
  </si>
  <si>
    <t>Signal timing improvements</t>
  </si>
  <si>
    <t>All crashes and severities</t>
  </si>
  <si>
    <t>Total Crashes (5-Year)**</t>
  </si>
  <si>
    <t>Traffic Signal Timing Upgrades</t>
  </si>
  <si>
    <t>All Crashes and severities</t>
  </si>
  <si>
    <t>Utilitarian/Non-Work - Walk</t>
  </si>
  <si>
    <t>Pedestrian crashes</t>
  </si>
  <si>
    <t>NCDOT, composite</t>
  </si>
  <si>
    <t>Crosswalk Improvements</t>
  </si>
  <si>
    <t>Pedestrian Crashes</t>
  </si>
  <si>
    <t>Pedestrian Signals</t>
  </si>
  <si>
    <t>LPI</t>
  </si>
  <si>
    <t>NCDOT (Average CMF 8.2.1, 8.2.2)</t>
  </si>
  <si>
    <t>NCDOT (Average CMF 8.5.1, 8.5.2)</t>
  </si>
  <si>
    <t>NCDOT (CMF 8.10.1)</t>
  </si>
  <si>
    <t>NCDOT (CMF 1.8.1)</t>
  </si>
  <si>
    <t>Compound Annual Growth Rate (CAGR)</t>
  </si>
  <si>
    <t>VMT Reduction</t>
  </si>
  <si>
    <t>Utilitarian/Non-work</t>
  </si>
  <si>
    <t>Number of signals</t>
  </si>
  <si>
    <t>Pedestrian signal Heads per signal</t>
  </si>
  <si>
    <t>Annual O&amp;M per pedestrian signal</t>
  </si>
  <si>
    <t>Total Annual O&amp;M</t>
  </si>
  <si>
    <t>Capital Cost</t>
  </si>
  <si>
    <t>Pedestrian signal O&amp;M</t>
  </si>
  <si>
    <t>*New pedestrian exposure numbers are annualized and calculated based on NCDOT Statewide Pedestrian Exposure Model, which estimates 13-hour peak volume pedestrian exposure at intersections. This model was created by NCDOT for long range safety planning. These estimates were expanded to a 24 hour count using a 20% non-peak volume conversion, and annualized to 2048 population using the OMB's County Population Growth Estimates for 365 days.</t>
  </si>
  <si>
    <t>Other O&amp;M*</t>
  </si>
  <si>
    <t>*O&amp;M for Crosswalks, LPI, &amp; Signal Improvements, is estimated at $0.00 annually for the life of the improvement. NCDOT has included an additional annual O&amp;M cost of 0.1% of the Capital Cost, or 2% of the combined capital cost over the 20 year analysis period.</t>
  </si>
  <si>
    <t>* Assuming annual maintenance, a pedestrian signal constructed in 2028 would have negligible residual value at the end of 2048.</t>
  </si>
  <si>
    <t>Value per mile (2021 USD)</t>
  </si>
  <si>
    <t>CAGR</t>
  </si>
  <si>
    <t>2021 USD</t>
  </si>
  <si>
    <t>**5-year period (2016-2021) for vehicular crashes</t>
  </si>
  <si>
    <t xml:space="preserve">Operations and maintenance </t>
  </si>
  <si>
    <t>2047 Goal Mode Share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</si>
</sst>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&quot;$&quot;#,##0"/>
    <numFmt numFmtId="166" formatCode="&quot;$&quot;#,##0.00"/>
    <numFmt numFmtId="167" formatCode="0.0%"/>
    <numFmt numFmtId="168" formatCode="_(* #,##0_);_(* \(#,##0\);_(* &quot;-&quot;??_);_(@_)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8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2"/>
      <name val="Calibri"/>
      <family val="2"/>
    </font>
    <font>
      <vertAlign val="subscript"/>
      <sz val="11"/>
      <color theme="1"/>
      <name val="Calibri"/>
      <family val="2"/>
      <scheme val="minor"/>
    </font>
    <font>
      <sz val="10"/>
      <color theme="1"/>
      <name val="Arial"/>
      <family val="2"/>
    </font>
    <font>
      <i/>
      <u/>
      <sz val="11"/>
      <color theme="1"/>
      <name val="Calibri"/>
      <family val="2"/>
      <scheme val="minor"/>
    </font>
    <font>
      <i/>
      <sz val="1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E6E6E6"/>
        <bgColor rgb="FFE6E6E6"/>
      </patternFill>
    </fill>
    <fill>
      <patternFill patternType="solid">
        <fgColor theme="6" tint="0.79998168889431442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8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3" borderId="0" applyNumberFormat="0" applyBorder="0" applyAlignment="0" applyProtection="0"/>
    <xf numFmtId="0" fontId="6" fillId="4" borderId="0" applyNumberFormat="0" applyBorder="0" applyAlignment="0" applyProtection="0"/>
    <xf numFmtId="0" fontId="9" fillId="0" borderId="0"/>
    <xf numFmtId="0" fontId="10" fillId="7" borderId="21">
      <alignment horizontal="left"/>
    </xf>
    <xf numFmtId="43" fontId="1" fillId="0" borderId="0" applyFont="0" applyFill="0" applyBorder="0" applyAlignment="0" applyProtection="0"/>
  </cellStyleXfs>
  <cellXfs count="252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2" fillId="0" borderId="1" xfId="0" applyFont="1" applyBorder="1"/>
    <xf numFmtId="0" fontId="2" fillId="0" borderId="2" xfId="0" applyFont="1" applyBorder="1"/>
    <xf numFmtId="0" fontId="0" fillId="0" borderId="3" xfId="0" applyBorder="1"/>
    <xf numFmtId="164" fontId="0" fillId="0" borderId="4" xfId="1" applyNumberFormat="1" applyFont="1" applyBorder="1"/>
    <xf numFmtId="164" fontId="0" fillId="0" borderId="0" xfId="0" applyNumberFormat="1"/>
    <xf numFmtId="164" fontId="0" fillId="0" borderId="0" xfId="1" applyNumberFormat="1" applyFont="1"/>
    <xf numFmtId="0" fontId="0" fillId="0" borderId="5" xfId="0" applyBorder="1"/>
    <xf numFmtId="164" fontId="0" fillId="0" borderId="6" xfId="1" applyNumberFormat="1" applyFont="1" applyBorder="1"/>
    <xf numFmtId="0" fontId="0" fillId="0" borderId="1" xfId="0" applyBorder="1"/>
    <xf numFmtId="0" fontId="0" fillId="0" borderId="4" xfId="0" applyBorder="1"/>
    <xf numFmtId="0" fontId="0" fillId="0" borderId="0" xfId="0" applyAlignment="1">
      <alignment wrapText="1"/>
    </xf>
    <xf numFmtId="0" fontId="0" fillId="0" borderId="7" xfId="0" applyBorder="1"/>
    <xf numFmtId="0" fontId="0" fillId="0" borderId="0" xfId="0" applyAlignment="1">
      <alignment horizontal="left"/>
    </xf>
    <xf numFmtId="0" fontId="2" fillId="0" borderId="10" xfId="0" applyFont="1" applyBorder="1"/>
    <xf numFmtId="164" fontId="2" fillId="6" borderId="0" xfId="0" applyNumberFormat="1" applyFont="1" applyFill="1"/>
    <xf numFmtId="0" fontId="0" fillId="0" borderId="17" xfId="0" applyBorder="1"/>
    <xf numFmtId="0" fontId="0" fillId="0" borderId="19" xfId="0" applyBorder="1"/>
    <xf numFmtId="0" fontId="2" fillId="0" borderId="14" xfId="0" applyFont="1" applyBorder="1" applyAlignment="1">
      <alignment horizontal="left" wrapText="1"/>
    </xf>
    <xf numFmtId="0" fontId="2" fillId="0" borderId="16" xfId="0" applyFont="1" applyBorder="1" applyAlignment="1">
      <alignment horizontal="left" wrapText="1"/>
    </xf>
    <xf numFmtId="166" fontId="0" fillId="0" borderId="0" xfId="0" applyNumberFormat="1"/>
    <xf numFmtId="166" fontId="2" fillId="0" borderId="3" xfId="0" applyNumberFormat="1" applyFont="1" applyBorder="1"/>
    <xf numFmtId="166" fontId="2" fillId="0" borderId="4" xfId="0" applyNumberFormat="1" applyFont="1" applyBorder="1"/>
    <xf numFmtId="166" fontId="0" fillId="0" borderId="4" xfId="0" applyNumberFormat="1" applyBorder="1"/>
    <xf numFmtId="166" fontId="0" fillId="0" borderId="3" xfId="0" applyNumberFormat="1" applyBorder="1"/>
    <xf numFmtId="166" fontId="0" fillId="0" borderId="3" xfId="1" applyNumberFormat="1" applyFont="1" applyBorder="1"/>
    <xf numFmtId="166" fontId="0" fillId="0" borderId="0" xfId="1" applyNumberFormat="1" applyFont="1" applyBorder="1"/>
    <xf numFmtId="166" fontId="0" fillId="0" borderId="5" xfId="0" applyNumberFormat="1" applyBorder="1"/>
    <xf numFmtId="166" fontId="0" fillId="0" borderId="11" xfId="0" applyNumberFormat="1" applyBorder="1"/>
    <xf numFmtId="6" fontId="0" fillId="0" borderId="0" xfId="0" applyNumberFormat="1"/>
    <xf numFmtId="0" fontId="0" fillId="0" borderId="1" xfId="0" applyBorder="1" applyAlignment="1">
      <alignment horizontal="center"/>
    </xf>
    <xf numFmtId="0" fontId="0" fillId="0" borderId="3" xfId="0" applyBorder="1" applyAlignment="1">
      <alignment horizontal="center"/>
    </xf>
    <xf numFmtId="164" fontId="0" fillId="0" borderId="0" xfId="1" applyNumberFormat="1" applyFont="1" applyBorder="1"/>
    <xf numFmtId="164" fontId="0" fillId="0" borderId="0" xfId="1" applyNumberFormat="1" applyFont="1" applyFill="1" applyBorder="1"/>
    <xf numFmtId="164" fontId="0" fillId="0" borderId="4" xfId="1" applyNumberFormat="1" applyFont="1" applyFill="1" applyBorder="1"/>
    <xf numFmtId="164" fontId="6" fillId="0" borderId="0" xfId="4" applyNumberFormat="1" applyFill="1" applyBorder="1"/>
    <xf numFmtId="0" fontId="2" fillId="0" borderId="3" xfId="0" applyFont="1" applyBorder="1"/>
    <xf numFmtId="0" fontId="0" fillId="0" borderId="11" xfId="0" applyBorder="1"/>
    <xf numFmtId="0" fontId="0" fillId="0" borderId="6" xfId="0" applyBorder="1"/>
    <xf numFmtId="9" fontId="0" fillId="0" borderId="0" xfId="2" applyFont="1"/>
    <xf numFmtId="0" fontId="0" fillId="0" borderId="2" xfId="0" applyBorder="1"/>
    <xf numFmtId="0" fontId="2" fillId="0" borderId="0" xfId="0" applyFont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0" fillId="0" borderId="3" xfId="0" applyBorder="1" applyAlignment="1">
      <alignment horizontal="center" textRotation="90" wrapText="1"/>
    </xf>
    <xf numFmtId="0" fontId="0" fillId="0" borderId="0" xfId="0" applyAlignment="1">
      <alignment horizontal="center" textRotation="90" wrapText="1"/>
    </xf>
    <xf numFmtId="0" fontId="0" fillId="0" borderId="4" xfId="0" applyBorder="1" applyAlignment="1">
      <alignment horizontal="center" textRotation="90" wrapText="1"/>
    </xf>
    <xf numFmtId="164" fontId="0" fillId="0" borderId="3" xfId="1" applyNumberFormat="1" applyFont="1" applyBorder="1"/>
    <xf numFmtId="166" fontId="0" fillId="0" borderId="4" xfId="1" applyNumberFormat="1" applyFont="1" applyBorder="1"/>
    <xf numFmtId="164" fontId="0" fillId="0" borderId="3" xfId="1" applyNumberFormat="1" applyFont="1" applyFill="1" applyBorder="1"/>
    <xf numFmtId="166" fontId="0" fillId="0" borderId="0" xfId="1" applyNumberFormat="1" applyFont="1" applyFill="1" applyBorder="1"/>
    <xf numFmtId="166" fontId="0" fillId="0" borderId="4" xfId="1" applyNumberFormat="1" applyFont="1" applyFill="1" applyBorder="1"/>
    <xf numFmtId="44" fontId="0" fillId="0" borderId="0" xfId="0" applyNumberFormat="1"/>
    <xf numFmtId="165" fontId="0" fillId="0" borderId="0" xfId="1" applyNumberFormat="1" applyFont="1" applyFill="1" applyBorder="1"/>
    <xf numFmtId="165" fontId="0" fillId="0" borderId="4" xfId="1" applyNumberFormat="1" applyFont="1" applyFill="1" applyBorder="1"/>
    <xf numFmtId="164" fontId="0" fillId="0" borderId="11" xfId="0" applyNumberFormat="1" applyBorder="1"/>
    <xf numFmtId="0" fontId="0" fillId="0" borderId="9" xfId="0" applyBorder="1"/>
    <xf numFmtId="1" fontId="0" fillId="0" borderId="17" xfId="0" applyNumberFormat="1" applyBorder="1"/>
    <xf numFmtId="1" fontId="0" fillId="0" borderId="0" xfId="0" applyNumberFormat="1"/>
    <xf numFmtId="9" fontId="0" fillId="0" borderId="0" xfId="2" applyFont="1" applyFill="1" applyBorder="1"/>
    <xf numFmtId="44" fontId="0" fillId="0" borderId="0" xfId="1" applyFont="1" applyFill="1" applyBorder="1"/>
    <xf numFmtId="1" fontId="0" fillId="0" borderId="18" xfId="0" applyNumberFormat="1" applyBorder="1"/>
    <xf numFmtId="1" fontId="0" fillId="0" borderId="19" xfId="0" applyNumberFormat="1" applyBorder="1"/>
    <xf numFmtId="10" fontId="0" fillId="0" borderId="0" xfId="2" applyNumberFormat="1" applyFont="1" applyFill="1"/>
    <xf numFmtId="44" fontId="0" fillId="0" borderId="0" xfId="1" applyFont="1" applyFill="1"/>
    <xf numFmtId="9" fontId="0" fillId="0" borderId="0" xfId="2" applyFont="1" applyFill="1"/>
    <xf numFmtId="0" fontId="2" fillId="0" borderId="17" xfId="0" applyFont="1" applyBorder="1"/>
    <xf numFmtId="168" fontId="0" fillId="0" borderId="0" xfId="7" applyNumberFormat="1" applyFont="1" applyFill="1" applyBorder="1"/>
    <xf numFmtId="0" fontId="0" fillId="0" borderId="5" xfId="0" applyBorder="1" applyAlignment="1">
      <alignment horizontal="center"/>
    </xf>
    <xf numFmtId="164" fontId="0" fillId="0" borderId="11" xfId="1" applyNumberFormat="1" applyFont="1" applyBorder="1"/>
    <xf numFmtId="164" fontId="0" fillId="0" borderId="22" xfId="1" applyNumberFormat="1" applyFont="1" applyBorder="1"/>
    <xf numFmtId="164" fontId="0" fillId="0" borderId="4" xfId="0" applyNumberFormat="1" applyBorder="1"/>
    <xf numFmtId="0" fontId="0" fillId="0" borderId="0" xfId="0" applyAlignment="1">
      <alignment horizontal="center" wrapText="1"/>
    </xf>
    <xf numFmtId="0" fontId="2" fillId="0" borderId="10" xfId="0" applyFont="1" applyBorder="1" applyAlignment="1">
      <alignment horizontal="left"/>
    </xf>
    <xf numFmtId="0" fontId="0" fillId="0" borderId="17" xfId="0" applyBorder="1" applyAlignment="1">
      <alignment horizontal="left"/>
    </xf>
    <xf numFmtId="0" fontId="0" fillId="0" borderId="18" xfId="0" applyBorder="1" applyAlignment="1">
      <alignment horizontal="left"/>
    </xf>
    <xf numFmtId="166" fontId="2" fillId="0" borderId="0" xfId="0" applyNumberFormat="1" applyFont="1"/>
    <xf numFmtId="43" fontId="0" fillId="0" borderId="0" xfId="0" applyNumberFormat="1"/>
    <xf numFmtId="166" fontId="2" fillId="0" borderId="17" xfId="0" applyNumberFormat="1" applyFont="1" applyBorder="1"/>
    <xf numFmtId="166" fontId="2" fillId="0" borderId="9" xfId="0" applyNumberFormat="1" applyFont="1" applyBorder="1"/>
    <xf numFmtId="166" fontId="0" fillId="0" borderId="9" xfId="0" applyNumberFormat="1" applyBorder="1"/>
    <xf numFmtId="168" fontId="0" fillId="0" borderId="17" xfId="7" applyNumberFormat="1" applyFont="1" applyFill="1" applyBorder="1"/>
    <xf numFmtId="166" fontId="0" fillId="0" borderId="18" xfId="0" applyNumberFormat="1" applyBorder="1"/>
    <xf numFmtId="166" fontId="0" fillId="0" borderId="19" xfId="0" applyNumberFormat="1" applyBorder="1"/>
    <xf numFmtId="166" fontId="0" fillId="0" borderId="23" xfId="0" applyNumberFormat="1" applyBorder="1"/>
    <xf numFmtId="166" fontId="0" fillId="0" borderId="24" xfId="1" applyNumberFormat="1" applyFont="1" applyBorder="1"/>
    <xf numFmtId="166" fontId="0" fillId="0" borderId="19" xfId="1" applyNumberFormat="1" applyFont="1" applyBorder="1"/>
    <xf numFmtId="166" fontId="0" fillId="0" borderId="20" xfId="0" applyNumberFormat="1" applyBorder="1"/>
    <xf numFmtId="166" fontId="0" fillId="0" borderId="1" xfId="0" applyNumberFormat="1" applyBorder="1" applyAlignment="1">
      <alignment wrapText="1"/>
    </xf>
    <xf numFmtId="166" fontId="0" fillId="0" borderId="0" xfId="0" applyNumberFormat="1" applyAlignment="1">
      <alignment wrapText="1"/>
    </xf>
    <xf numFmtId="166" fontId="0" fillId="0" borderId="17" xfId="0" applyNumberFormat="1" applyBorder="1" applyAlignment="1">
      <alignment wrapText="1"/>
    </xf>
    <xf numFmtId="0" fontId="0" fillId="2" borderId="6" xfId="0" applyFill="1" applyBorder="1"/>
    <xf numFmtId="2" fontId="0" fillId="0" borderId="0" xfId="0" applyNumberFormat="1"/>
    <xf numFmtId="0" fontId="2" fillId="0" borderId="0" xfId="0" applyFont="1" applyAlignment="1">
      <alignment wrapText="1"/>
    </xf>
    <xf numFmtId="9" fontId="2" fillId="0" borderId="0" xfId="2" applyFont="1"/>
    <xf numFmtId="165" fontId="0" fillId="0" borderId="0" xfId="0" applyNumberFormat="1"/>
    <xf numFmtId="0" fontId="0" fillId="5" borderId="25" xfId="0" applyFill="1" applyBorder="1"/>
    <xf numFmtId="0" fontId="0" fillId="0" borderId="25" xfId="0" applyBorder="1"/>
    <xf numFmtId="0" fontId="2" fillId="0" borderId="25" xfId="0" applyFont="1" applyBorder="1" applyAlignment="1">
      <alignment horizontal="center" wrapText="1"/>
    </xf>
    <xf numFmtId="165" fontId="0" fillId="5" borderId="25" xfId="0" applyNumberFormat="1" applyFill="1" applyBorder="1" applyAlignment="1">
      <alignment horizontal="left"/>
    </xf>
    <xf numFmtId="0" fontId="0" fillId="0" borderId="25" xfId="0" applyBorder="1" applyAlignment="1">
      <alignment wrapText="1"/>
    </xf>
    <xf numFmtId="0" fontId="0" fillId="5" borderId="25" xfId="0" applyFill="1" applyBorder="1" applyAlignment="1">
      <alignment wrapText="1"/>
    </xf>
    <xf numFmtId="0" fontId="2" fillId="5" borderId="25" xfId="0" applyFont="1" applyFill="1" applyBorder="1" applyAlignment="1">
      <alignment horizontal="center" wrapText="1"/>
    </xf>
    <xf numFmtId="0" fontId="0" fillId="5" borderId="0" xfId="0" applyFill="1" applyAlignment="1">
      <alignment horizontal="center"/>
    </xf>
    <xf numFmtId="0" fontId="3" fillId="0" borderId="25" xfId="0" applyFont="1" applyBorder="1" applyAlignment="1">
      <alignment wrapText="1"/>
    </xf>
    <xf numFmtId="0" fontId="4" fillId="0" borderId="25" xfId="0" applyFont="1" applyBorder="1"/>
    <xf numFmtId="164" fontId="0" fillId="5" borderId="25" xfId="0" applyNumberFormat="1" applyFill="1" applyBorder="1" applyAlignment="1">
      <alignment horizontal="center"/>
    </xf>
    <xf numFmtId="0" fontId="0" fillId="2" borderId="11" xfId="0" applyFill="1" applyBorder="1"/>
    <xf numFmtId="164" fontId="0" fillId="0" borderId="11" xfId="1" applyNumberFormat="1" applyFont="1" applyFill="1" applyBorder="1"/>
    <xf numFmtId="0" fontId="2" fillId="5" borderId="0" xfId="0" applyFont="1" applyFill="1" applyAlignment="1">
      <alignment horizontal="center" wrapText="1"/>
    </xf>
    <xf numFmtId="0" fontId="2" fillId="5" borderId="26" xfId="0" applyFont="1" applyFill="1" applyBorder="1" applyAlignment="1">
      <alignment horizontal="center" wrapText="1"/>
    </xf>
    <xf numFmtId="165" fontId="0" fillId="5" borderId="27" xfId="0" applyNumberFormat="1" applyFill="1" applyBorder="1" applyAlignment="1">
      <alignment horizontal="left"/>
    </xf>
    <xf numFmtId="9" fontId="2" fillId="0" borderId="0" xfId="2" applyFont="1" applyAlignment="1"/>
    <xf numFmtId="9" fontId="0" fillId="0" borderId="0" xfId="2" applyFont="1" applyAlignment="1"/>
    <xf numFmtId="44" fontId="0" fillId="5" borderId="27" xfId="0" applyNumberFormat="1" applyFill="1" applyBorder="1" applyAlignment="1">
      <alignment horizontal="left"/>
    </xf>
    <xf numFmtId="2" fontId="0" fillId="0" borderId="4" xfId="0" applyNumberFormat="1" applyBorder="1"/>
    <xf numFmtId="2" fontId="0" fillId="0" borderId="19" xfId="0" applyNumberFormat="1" applyBorder="1"/>
    <xf numFmtId="44" fontId="0" fillId="0" borderId="0" xfId="1" applyFont="1"/>
    <xf numFmtId="0" fontId="0" fillId="0" borderId="0" xfId="0" applyAlignment="1">
      <alignment vertical="center"/>
    </xf>
    <xf numFmtId="0" fontId="13" fillId="0" borderId="0" xfId="0" applyFont="1" applyAlignment="1">
      <alignment vertical="center"/>
    </xf>
    <xf numFmtId="0" fontId="0" fillId="0" borderId="0" xfId="0" applyAlignment="1">
      <alignment horizontal="left" vertical="center" indent="5"/>
    </xf>
    <xf numFmtId="0" fontId="2" fillId="0" borderId="0" xfId="0" applyFont="1" applyAlignment="1">
      <alignment vertical="center"/>
    </xf>
    <xf numFmtId="0" fontId="4" fillId="0" borderId="0" xfId="3" applyFont="1" applyFill="1"/>
    <xf numFmtId="0" fontId="14" fillId="0" borderId="0" xfId="3" applyFont="1" applyFill="1" applyAlignment="1">
      <alignment horizontal="left" indent="1"/>
    </xf>
    <xf numFmtId="0" fontId="14" fillId="0" borderId="0" xfId="3" applyFont="1" applyFill="1"/>
    <xf numFmtId="0" fontId="2" fillId="0" borderId="7" xfId="0" applyFont="1" applyBorder="1"/>
    <xf numFmtId="0" fontId="2" fillId="0" borderId="5" xfId="0" applyFont="1" applyBorder="1" applyAlignment="1">
      <alignment wrapText="1"/>
    </xf>
    <xf numFmtId="9" fontId="2" fillId="0" borderId="11" xfId="2" applyFont="1" applyBorder="1"/>
    <xf numFmtId="9" fontId="2" fillId="0" borderId="6" xfId="2" applyFont="1" applyBorder="1"/>
    <xf numFmtId="10" fontId="0" fillId="0" borderId="4" xfId="2" applyNumberFormat="1" applyFont="1" applyBorder="1"/>
    <xf numFmtId="10" fontId="0" fillId="0" borderId="0" xfId="2" applyNumberFormat="1" applyFont="1" applyBorder="1"/>
    <xf numFmtId="10" fontId="0" fillId="0" borderId="11" xfId="2" applyNumberFormat="1" applyFont="1" applyBorder="1"/>
    <xf numFmtId="167" fontId="0" fillId="0" borderId="0" xfId="0" applyNumberFormat="1"/>
    <xf numFmtId="168" fontId="0" fillId="0" borderId="0" xfId="7" applyNumberFormat="1" applyFont="1" applyBorder="1"/>
    <xf numFmtId="168" fontId="0" fillId="0" borderId="11" xfId="7" applyNumberFormat="1" applyFont="1" applyBorder="1"/>
    <xf numFmtId="0" fontId="2" fillId="0" borderId="1" xfId="0" applyFont="1" applyBorder="1" applyAlignment="1">
      <alignment wrapText="1"/>
    </xf>
    <xf numFmtId="166" fontId="0" fillId="0" borderId="6" xfId="0" applyNumberFormat="1" applyBorder="1"/>
    <xf numFmtId="0" fontId="0" fillId="0" borderId="13" xfId="0" applyBorder="1"/>
    <xf numFmtId="0" fontId="0" fillId="0" borderId="8" xfId="0" applyBorder="1"/>
    <xf numFmtId="43" fontId="0" fillId="0" borderId="9" xfId="0" applyNumberFormat="1" applyBorder="1"/>
    <xf numFmtId="44" fontId="0" fillId="0" borderId="17" xfId="1" applyFont="1" applyFill="1" applyBorder="1"/>
    <xf numFmtId="44" fontId="0" fillId="2" borderId="18" xfId="1" applyFont="1" applyFill="1" applyBorder="1"/>
    <xf numFmtId="168" fontId="0" fillId="2" borderId="19" xfId="7" applyNumberFormat="1" applyFont="1" applyFill="1" applyBorder="1"/>
    <xf numFmtId="0" fontId="0" fillId="0" borderId="20" xfId="0" applyBorder="1"/>
    <xf numFmtId="0" fontId="2" fillId="0" borderId="9" xfId="0" applyFont="1" applyBorder="1" applyAlignment="1">
      <alignment wrapText="1"/>
    </xf>
    <xf numFmtId="3" fontId="0" fillId="0" borderId="0" xfId="0" applyNumberFormat="1"/>
    <xf numFmtId="44" fontId="2" fillId="0" borderId="0" xfId="0" applyNumberFormat="1" applyFont="1"/>
    <xf numFmtId="0" fontId="0" fillId="0" borderId="12" xfId="0" applyBorder="1"/>
    <xf numFmtId="0" fontId="2" fillId="0" borderId="12" xfId="0" applyFont="1" applyBorder="1"/>
    <xf numFmtId="0" fontId="2" fillId="0" borderId="13" xfId="0" applyFont="1" applyBorder="1"/>
    <xf numFmtId="0" fontId="2" fillId="0" borderId="8" xfId="0" applyFont="1" applyBorder="1"/>
    <xf numFmtId="44" fontId="2" fillId="0" borderId="9" xfId="0" applyNumberFormat="1" applyFont="1" applyBorder="1"/>
    <xf numFmtId="44" fontId="0" fillId="0" borderId="0" xfId="1" applyFont="1" applyBorder="1"/>
    <xf numFmtId="44" fontId="0" fillId="0" borderId="9" xfId="1" applyFont="1" applyBorder="1"/>
    <xf numFmtId="44" fontId="0" fillId="0" borderId="19" xfId="1" applyFont="1" applyBorder="1"/>
    <xf numFmtId="44" fontId="0" fillId="0" borderId="20" xfId="1" applyFont="1" applyBorder="1"/>
    <xf numFmtId="0" fontId="0" fillId="0" borderId="28" xfId="0" applyBorder="1"/>
    <xf numFmtId="0" fontId="0" fillId="0" borderId="29" xfId="0" applyBorder="1" applyAlignment="1">
      <alignment horizontal="right"/>
    </xf>
    <xf numFmtId="0" fontId="0" fillId="0" borderId="30" xfId="0" applyBorder="1" applyAlignment="1">
      <alignment horizontal="right"/>
    </xf>
    <xf numFmtId="44" fontId="12" fillId="8" borderId="0" xfId="1" applyFont="1" applyFill="1" applyBorder="1"/>
    <xf numFmtId="44" fontId="12" fillId="8" borderId="9" xfId="1" applyFont="1" applyFill="1" applyBorder="1"/>
    <xf numFmtId="0" fontId="0" fillId="0" borderId="12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31" xfId="0" applyBorder="1" applyAlignment="1">
      <alignment horizontal="center" wrapText="1"/>
    </xf>
    <xf numFmtId="0" fontId="0" fillId="0" borderId="18" xfId="0" applyBorder="1"/>
    <xf numFmtId="0" fontId="2" fillId="0" borderId="13" xfId="0" applyFont="1" applyBorder="1" applyAlignment="1">
      <alignment wrapText="1"/>
    </xf>
    <xf numFmtId="10" fontId="0" fillId="0" borderId="9" xfId="2" applyNumberFormat="1" applyFont="1" applyBorder="1"/>
    <xf numFmtId="168" fontId="0" fillId="0" borderId="19" xfId="7" applyNumberFormat="1" applyFont="1" applyBorder="1"/>
    <xf numFmtId="10" fontId="0" fillId="0" borderId="19" xfId="2" applyNumberFormat="1" applyFont="1" applyBorder="1"/>
    <xf numFmtId="0" fontId="2" fillId="0" borderId="9" xfId="0" applyFont="1" applyBorder="1"/>
    <xf numFmtId="167" fontId="0" fillId="0" borderId="19" xfId="0" applyNumberFormat="1" applyBorder="1"/>
    <xf numFmtId="10" fontId="0" fillId="0" borderId="20" xfId="2" applyNumberFormat="1" applyFont="1" applyBorder="1"/>
    <xf numFmtId="0" fontId="2" fillId="0" borderId="17" xfId="0" applyFont="1" applyBorder="1" applyAlignment="1">
      <alignment wrapText="1"/>
    </xf>
    <xf numFmtId="0" fontId="2" fillId="0" borderId="8" xfId="0" applyFont="1" applyBorder="1" applyAlignment="1">
      <alignment wrapText="1"/>
    </xf>
    <xf numFmtId="3" fontId="0" fillId="0" borderId="19" xfId="0" applyNumberFormat="1" applyBorder="1"/>
    <xf numFmtId="0" fontId="2" fillId="0" borderId="12" xfId="0" applyFont="1" applyBorder="1" applyAlignment="1">
      <alignment wrapText="1"/>
    </xf>
    <xf numFmtId="3" fontId="0" fillId="0" borderId="9" xfId="0" applyNumberFormat="1" applyBorder="1"/>
    <xf numFmtId="3" fontId="0" fillId="0" borderId="20" xfId="0" applyNumberFormat="1" applyBorder="1"/>
    <xf numFmtId="0" fontId="0" fillId="0" borderId="14" xfId="0" applyBorder="1"/>
    <xf numFmtId="3" fontId="0" fillId="0" borderId="15" xfId="0" applyNumberFormat="1" applyBorder="1"/>
    <xf numFmtId="3" fontId="0" fillId="0" borderId="16" xfId="0" applyNumberFormat="1" applyBorder="1"/>
    <xf numFmtId="0" fontId="2" fillId="0" borderId="32" xfId="0" applyFont="1" applyBorder="1" applyAlignment="1">
      <alignment wrapText="1"/>
    </xf>
    <xf numFmtId="0" fontId="0" fillId="5" borderId="33" xfId="0" applyFill="1" applyBorder="1" applyAlignment="1">
      <alignment wrapText="1"/>
    </xf>
    <xf numFmtId="0" fontId="2" fillId="5" borderId="33" xfId="0" applyFont="1" applyFill="1" applyBorder="1" applyAlignment="1">
      <alignment horizontal="center" wrapText="1"/>
    </xf>
    <xf numFmtId="0" fontId="3" fillId="0" borderId="33" xfId="0" applyFont="1" applyBorder="1" applyAlignment="1">
      <alignment wrapText="1"/>
    </xf>
    <xf numFmtId="0" fontId="2" fillId="0" borderId="33" xfId="0" applyFont="1" applyBorder="1" applyAlignment="1">
      <alignment horizontal="center" wrapText="1"/>
    </xf>
    <xf numFmtId="0" fontId="2" fillId="5" borderId="34" xfId="0" applyFont="1" applyFill="1" applyBorder="1" applyAlignment="1">
      <alignment horizontal="center" wrapText="1"/>
    </xf>
    <xf numFmtId="0" fontId="0" fillId="0" borderId="35" xfId="0" applyBorder="1"/>
    <xf numFmtId="164" fontId="0" fillId="5" borderId="36" xfId="1" applyNumberFormat="1" applyFont="1" applyFill="1" applyBorder="1" applyAlignment="1">
      <alignment horizontal="center"/>
    </xf>
    <xf numFmtId="0" fontId="2" fillId="0" borderId="35" xfId="0" applyFont="1" applyBorder="1" applyAlignment="1">
      <alignment wrapText="1"/>
    </xf>
    <xf numFmtId="0" fontId="2" fillId="5" borderId="36" xfId="0" applyFont="1" applyFill="1" applyBorder="1" applyAlignment="1">
      <alignment horizontal="center" wrapText="1"/>
    </xf>
    <xf numFmtId="0" fontId="0" fillId="0" borderId="37" xfId="0" applyBorder="1"/>
    <xf numFmtId="0" fontId="0" fillId="5" borderId="38" xfId="0" applyFill="1" applyBorder="1"/>
    <xf numFmtId="0" fontId="4" fillId="0" borderId="38" xfId="0" applyFont="1" applyBorder="1"/>
    <xf numFmtId="165" fontId="0" fillId="5" borderId="38" xfId="0" applyNumberFormat="1" applyFill="1" applyBorder="1" applyAlignment="1">
      <alignment horizontal="left"/>
    </xf>
    <xf numFmtId="0" fontId="0" fillId="0" borderId="38" xfId="0" applyBorder="1" applyAlignment="1">
      <alignment wrapText="1"/>
    </xf>
    <xf numFmtId="0" fontId="0" fillId="0" borderId="38" xfId="0" applyBorder="1"/>
    <xf numFmtId="44" fontId="0" fillId="5" borderId="38" xfId="0" applyNumberFormat="1" applyFill="1" applyBorder="1" applyAlignment="1">
      <alignment horizontal="center"/>
    </xf>
    <xf numFmtId="44" fontId="0" fillId="5" borderId="39" xfId="1" applyFont="1" applyFill="1" applyBorder="1" applyAlignment="1">
      <alignment horizontal="center"/>
    </xf>
    <xf numFmtId="0" fontId="2" fillId="2" borderId="13" xfId="0" applyFont="1" applyFill="1" applyBorder="1"/>
    <xf numFmtId="0" fontId="2" fillId="2" borderId="8" xfId="0" applyFont="1" applyFill="1" applyBorder="1"/>
    <xf numFmtId="0" fontId="2" fillId="2" borderId="17" xfId="0" applyFont="1" applyFill="1" applyBorder="1"/>
    <xf numFmtId="2" fontId="2" fillId="2" borderId="0" xfId="0" applyNumberFormat="1" applyFont="1" applyFill="1"/>
    <xf numFmtId="165" fontId="2" fillId="2" borderId="0" xfId="0" applyNumberFormat="1" applyFont="1" applyFill="1"/>
    <xf numFmtId="44" fontId="2" fillId="2" borderId="9" xfId="0" applyNumberFormat="1" applyFont="1" applyFill="1" applyBorder="1"/>
    <xf numFmtId="165" fontId="0" fillId="0" borderId="19" xfId="0" applyNumberFormat="1" applyBorder="1"/>
    <xf numFmtId="164" fontId="0" fillId="0" borderId="19" xfId="0" applyNumberFormat="1" applyBorder="1"/>
    <xf numFmtId="0" fontId="2" fillId="0" borderId="13" xfId="0" applyFont="1" applyBorder="1" applyAlignment="1">
      <alignment horizontal="center"/>
    </xf>
    <xf numFmtId="0" fontId="0" fillId="0" borderId="32" xfId="0" applyBorder="1" applyAlignment="1">
      <alignment horizontal="center" textRotation="90" wrapText="1"/>
    </xf>
    <xf numFmtId="0" fontId="0" fillId="0" borderId="33" xfId="0" applyBorder="1" applyAlignment="1">
      <alignment horizontal="center" textRotation="90" wrapText="1"/>
    </xf>
    <xf numFmtId="0" fontId="0" fillId="0" borderId="34" xfId="0" applyBorder="1" applyAlignment="1">
      <alignment horizontal="center" textRotation="90" wrapText="1"/>
    </xf>
    <xf numFmtId="164" fontId="0" fillId="0" borderId="37" xfId="0" applyNumberFormat="1" applyBorder="1"/>
    <xf numFmtId="164" fontId="0" fillId="0" borderId="38" xfId="0" applyNumberFormat="1" applyBorder="1"/>
    <xf numFmtId="2" fontId="0" fillId="0" borderId="39" xfId="0" applyNumberFormat="1" applyBorder="1"/>
    <xf numFmtId="0" fontId="0" fillId="0" borderId="18" xfId="0" applyBorder="1" applyAlignment="1">
      <alignment horizontal="center"/>
    </xf>
    <xf numFmtId="44" fontId="0" fillId="0" borderId="18" xfId="1" applyFont="1" applyFill="1" applyBorder="1"/>
    <xf numFmtId="44" fontId="0" fillId="0" borderId="19" xfId="1" applyFont="1" applyFill="1" applyBorder="1"/>
    <xf numFmtId="168" fontId="0" fillId="0" borderId="19" xfId="7" applyNumberFormat="1" applyFont="1" applyFill="1" applyBorder="1"/>
    <xf numFmtId="43" fontId="0" fillId="0" borderId="19" xfId="0" applyNumberFormat="1" applyBorder="1"/>
    <xf numFmtId="43" fontId="0" fillId="0" borderId="20" xfId="0" applyNumberFormat="1" applyBorder="1"/>
    <xf numFmtId="0" fontId="2" fillId="0" borderId="5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2" borderId="12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2" fillId="5" borderId="0" xfId="0" applyFont="1" applyFill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2" xfId="0" applyFont="1" applyBorder="1" applyAlignment="1">
      <alignment horizontal="center" wrapText="1"/>
    </xf>
    <xf numFmtId="0" fontId="2" fillId="0" borderId="13" xfId="0" applyFont="1" applyBorder="1" applyAlignment="1">
      <alignment horizontal="center" wrapText="1"/>
    </xf>
    <xf numFmtId="0" fontId="2" fillId="0" borderId="12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0" fillId="0" borderId="0" xfId="0" applyAlignment="1">
      <alignment horizontal="left" wrapText="1"/>
    </xf>
    <xf numFmtId="0" fontId="2" fillId="0" borderId="7" xfId="0" applyFont="1" applyBorder="1" applyAlignment="1">
      <alignment horizontal="left" wrapText="1"/>
    </xf>
    <xf numFmtId="0" fontId="2" fillId="0" borderId="2" xfId="0" applyFont="1" applyBorder="1" applyAlignment="1">
      <alignment horizontal="left" wrapText="1"/>
    </xf>
    <xf numFmtId="0" fontId="2" fillId="0" borderId="1" xfId="0" applyFont="1" applyBorder="1" applyAlignment="1">
      <alignment horizontal="left" wrapText="1"/>
    </xf>
    <xf numFmtId="166" fontId="2" fillId="0" borderId="1" xfId="0" applyNumberFormat="1" applyFont="1" applyBorder="1" applyAlignment="1">
      <alignment horizontal="center"/>
    </xf>
    <xf numFmtId="166" fontId="2" fillId="0" borderId="7" xfId="0" applyNumberFormat="1" applyFont="1" applyBorder="1" applyAlignment="1">
      <alignment horizontal="center"/>
    </xf>
    <xf numFmtId="166" fontId="2" fillId="0" borderId="2" xfId="0" applyNumberFormat="1" applyFont="1" applyBorder="1" applyAlignment="1">
      <alignment horizontal="center"/>
    </xf>
    <xf numFmtId="166" fontId="2" fillId="0" borderId="3" xfId="0" applyNumberFormat="1" applyFont="1" applyBorder="1" applyAlignment="1">
      <alignment horizontal="center" wrapText="1"/>
    </xf>
    <xf numFmtId="166" fontId="2" fillId="0" borderId="0" xfId="0" applyNumberFormat="1" applyFont="1" applyAlignment="1">
      <alignment horizontal="center" wrapText="1"/>
    </xf>
    <xf numFmtId="166" fontId="2" fillId="0" borderId="9" xfId="0" applyNumberFormat="1" applyFont="1" applyBorder="1" applyAlignment="1">
      <alignment horizontal="center" wrapText="1"/>
    </xf>
    <xf numFmtId="166" fontId="2" fillId="0" borderId="4" xfId="0" applyNumberFormat="1" applyFont="1" applyBorder="1" applyAlignment="1">
      <alignment horizontal="center" wrapText="1"/>
    </xf>
    <xf numFmtId="0" fontId="2" fillId="0" borderId="15" xfId="0" applyFont="1" applyBorder="1" applyAlignment="1">
      <alignment horizontal="center"/>
    </xf>
    <xf numFmtId="0" fontId="15" fillId="0" borderId="0" xfId="0" applyFont="1" applyAlignment="1">
      <alignment horizontal="left" wrapText="1"/>
    </xf>
  </cellXfs>
  <cellStyles count="8">
    <cellStyle name="Bad" xfId="4" builtinId="27"/>
    <cellStyle name="Comma" xfId="7" builtinId="3"/>
    <cellStyle name="Currency" xfId="1" builtinId="4"/>
    <cellStyle name="Good" xfId="3" builtinId="26"/>
    <cellStyle name="Normal" xfId="0" builtinId="0"/>
    <cellStyle name="Normal 2 3" xfId="5" xr:uid="{DA034256-E826-448B-A2C3-F20B932BBB9B}"/>
    <cellStyle name="Percent" xfId="2" builtinId="5"/>
    <cellStyle name="Style0" xfId="6" xr:uid="{30900779-5BF3-4F27-BFCC-705B840E494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20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microsoft.com/office/2017/10/relationships/person" Target="persons/person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246081</xdr:colOff>
      <xdr:row>0</xdr:row>
      <xdr:rowOff>0</xdr:rowOff>
    </xdr:from>
    <xdr:to>
      <xdr:col>18</xdr:col>
      <xdr:colOff>336177</xdr:colOff>
      <xdr:row>9</xdr:row>
      <xdr:rowOff>33980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24A77FC-649C-78DB-5113-A4D471AA52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12140" y="0"/>
          <a:ext cx="1479626" cy="1748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366726</xdr:colOff>
      <xdr:row>1</xdr:row>
      <xdr:rowOff>78600</xdr:rowOff>
    </xdr:from>
    <xdr:to>
      <xdr:col>9</xdr:col>
      <xdr:colOff>1220385</xdr:colOff>
      <xdr:row>27</xdr:row>
      <xdr:rowOff>104130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7B44286-0BFC-4D3C-B458-28CBBA1C4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44619" y="269100"/>
          <a:ext cx="5987362" cy="55111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113966</xdr:colOff>
      <xdr:row>34</xdr:row>
      <xdr:rowOff>162934</xdr:rowOff>
    </xdr:from>
    <xdr:to>
      <xdr:col>22</xdr:col>
      <xdr:colOff>275332</xdr:colOff>
      <xdr:row>53</xdr:row>
      <xdr:rowOff>152321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5D27A1D-B0F7-4AB4-B8B5-C3FBD4BBF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49084" y="7110581"/>
          <a:ext cx="6261847" cy="4232606"/>
        </a:xfrm>
        <a:prstGeom prst="rect">
          <a:avLst/>
        </a:prstGeom>
      </xdr:spPr>
    </xdr:pic>
    <xdr:clientData/>
  </xdr:twoCellAnchor>
  <xdr:twoCellAnchor editAs="oneCell">
    <xdr:from>
      <xdr:col>30</xdr:col>
      <xdr:colOff>350631</xdr:colOff>
      <xdr:row>35</xdr:row>
      <xdr:rowOff>110421</xdr:rowOff>
    </xdr:from>
    <xdr:to>
      <xdr:col>40</xdr:col>
      <xdr:colOff>286198</xdr:colOff>
      <xdr:row>73</xdr:row>
      <xdr:rowOff>55654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837E51A-65E9-1668-A960-ACBF551FB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832307" y="7562333"/>
          <a:ext cx="6513420" cy="761745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21</xdr:row>
      <xdr:rowOff>104775</xdr:rowOff>
    </xdr:from>
    <xdr:to>
      <xdr:col>3</xdr:col>
      <xdr:colOff>751767</xdr:colOff>
      <xdr:row>43</xdr:row>
      <xdr:rowOff>1422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8A7B78-1011-C017-916B-CB8FB8E83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50" y="4333875"/>
          <a:ext cx="5666667" cy="3878097"/>
        </a:xfrm>
        <a:prstGeom prst="rect">
          <a:avLst/>
        </a:prstGeom>
      </xdr:spPr>
    </xdr:pic>
    <xdr:clientData/>
  </xdr:twoCellAnchor>
  <xdr:twoCellAnchor editAs="oneCell">
    <xdr:from>
      <xdr:col>19</xdr:col>
      <xdr:colOff>17145</xdr:colOff>
      <xdr:row>4</xdr:row>
      <xdr:rowOff>36725</xdr:rowOff>
    </xdr:from>
    <xdr:to>
      <xdr:col>26</xdr:col>
      <xdr:colOff>493520</xdr:colOff>
      <xdr:row>20</xdr:row>
      <xdr:rowOff>162604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1AC9F4E-0AE3-9DD4-8B61-F728B94F6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847320" y="760625"/>
          <a:ext cx="4943600" cy="34100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21</xdr:col>
      <xdr:colOff>369221</xdr:colOff>
      <xdr:row>68</xdr:row>
      <xdr:rowOff>82904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3E56F65-405C-41E8-81B9-DB7017DCB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8175" y="8391525"/>
          <a:ext cx="19571621" cy="442630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66675</xdr:colOff>
      <xdr:row>1</xdr:row>
      <xdr:rowOff>49511</xdr:rowOff>
    </xdr:from>
    <xdr:to>
      <xdr:col>15</xdr:col>
      <xdr:colOff>133616</xdr:colOff>
      <xdr:row>14</xdr:row>
      <xdr:rowOff>175578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60BBC23-7BD7-2138-F163-CBD1EBB6E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05575" y="240011"/>
          <a:ext cx="4943741" cy="3221692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Joe Seymour" id="{86F157B2-E577-4FCC-816E-424776181479}" userId="S::jseymour@vhb.com::0cbf3320-adef-4df8-af1b-c44aa8f04a41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2" dT="2023-02-21T16:38:45.45" personId="{86F157B2-E577-4FCC-816E-424776181479}" id="{0AF42432-CA6E-4A36-AD7C-6B68709A2101}">
    <text>Change label to 2021. The values are correct, though.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5.xml"/><Relationship Id="rId4" Type="http://schemas.microsoft.com/office/2017/10/relationships/threadedComment" Target="../threadedComments/threadedComment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B0D48A-CA2D-407B-BB48-1B9B7EE06BA5}">
  <sheetPr>
    <tabColor rgb="FFC00000"/>
  </sheetPr>
  <dimension ref="A1:IW74"/>
  <sheetViews>
    <sheetView zoomScale="85" zoomScaleNormal="85" workbookViewId="0">
      <pane xSplit="2" ySplit="4" topLeftCell="C35" activePane="bottomRight" state="frozen"/>
      <selection activeCell="FC4" sqref="FC4"/>
      <selection pane="topRight" activeCell="FC4" sqref="FC4"/>
      <selection pane="bottomLeft" activeCell="FC4" sqref="FC4"/>
      <selection pane="bottomRight" activeCell="C46" sqref="C46"/>
    </sheetView>
  </sheetViews>
  <sheetFormatPr defaultRowHeight="14.4" x14ac:dyDescent="0.3"/>
  <cols>
    <col min="1" max="1" width="27.88671875" bestFit="1" customWidth="1"/>
    <col min="2" max="2" width="8.6640625" bestFit="1" customWidth="1"/>
    <col min="3" max="3" width="18.21875" bestFit="1" customWidth="1"/>
    <col min="4" max="4" width="15.44140625" bestFit="1" customWidth="1"/>
    <col min="5" max="5" width="17.44140625" customWidth="1"/>
    <col min="6" max="6" width="9.109375" bestFit="1" customWidth="1"/>
    <col min="7" max="7" width="13.21875" bestFit="1" customWidth="1"/>
    <col min="8" max="8" width="10.88671875" bestFit="1" customWidth="1"/>
    <col min="9" max="9" width="12.5546875" bestFit="1" customWidth="1"/>
    <col min="10" max="10" width="6.109375" bestFit="1" customWidth="1"/>
    <col min="11" max="11" width="5.88671875" bestFit="1" customWidth="1"/>
    <col min="12" max="13" width="11.77734375" bestFit="1" customWidth="1"/>
    <col min="14" max="14" width="12.6640625" bestFit="1" customWidth="1"/>
    <col min="15" max="15" width="12.109375" bestFit="1" customWidth="1"/>
    <col min="16" max="16" width="5.6640625" bestFit="1" customWidth="1"/>
    <col min="17" max="18" width="12.6640625" bestFit="1" customWidth="1"/>
    <col min="19" max="19" width="13.21875" bestFit="1" customWidth="1"/>
    <col min="20" max="20" width="12.5546875" bestFit="1" customWidth="1"/>
    <col min="21" max="21" width="8" bestFit="1" customWidth="1"/>
    <col min="22" max="22" width="6.109375" bestFit="1" customWidth="1"/>
    <col min="23" max="23" width="8" bestFit="1" customWidth="1"/>
    <col min="24" max="24" width="11.5546875" bestFit="1" customWidth="1"/>
    <col min="25" max="25" width="9" bestFit="1" customWidth="1"/>
    <col min="26" max="28" width="6.109375" bestFit="1" customWidth="1"/>
    <col min="29" max="29" width="10.77734375" bestFit="1" customWidth="1"/>
    <col min="30" max="30" width="12.5546875" bestFit="1" customWidth="1"/>
    <col min="31" max="32" width="11.21875" bestFit="1" customWidth="1"/>
    <col min="33" max="33" width="5.6640625" bestFit="1" customWidth="1"/>
    <col min="34" max="35" width="11.21875" bestFit="1" customWidth="1"/>
    <col min="36" max="36" width="12.21875" bestFit="1" customWidth="1"/>
    <col min="37" max="37" width="11.5546875" bestFit="1" customWidth="1"/>
    <col min="38" max="38" width="8" bestFit="1" customWidth="1"/>
    <col min="39" max="39" width="6.109375" bestFit="1" customWidth="1"/>
    <col min="40" max="40" width="5.5546875" bestFit="1" customWidth="1"/>
    <col min="41" max="41" width="9" bestFit="1" customWidth="1"/>
    <col min="42" max="42" width="8" bestFit="1" customWidth="1"/>
    <col min="43" max="45" width="6.109375" bestFit="1" customWidth="1"/>
    <col min="46" max="47" width="11.5546875" bestFit="1" customWidth="1"/>
    <col min="48" max="48" width="11.21875" bestFit="1" customWidth="1"/>
    <col min="49" max="49" width="10" bestFit="1" customWidth="1"/>
    <col min="50" max="50" width="6.109375" bestFit="1" customWidth="1"/>
    <col min="51" max="52" width="11.21875" bestFit="1" customWidth="1"/>
    <col min="53" max="53" width="12.21875" bestFit="1" customWidth="1"/>
    <col min="54" max="54" width="10" bestFit="1" customWidth="1"/>
    <col min="55" max="55" width="7" bestFit="1" customWidth="1"/>
    <col min="56" max="56" width="6.109375" bestFit="1" customWidth="1"/>
    <col min="57" max="57" width="5.5546875" bestFit="1" customWidth="1"/>
    <col min="58" max="58" width="9" bestFit="1" customWidth="1"/>
    <col min="59" max="59" width="6.6640625" bestFit="1" customWidth="1"/>
    <col min="60" max="62" width="6.109375" bestFit="1" customWidth="1"/>
    <col min="63" max="64" width="10" bestFit="1" customWidth="1"/>
    <col min="65" max="65" width="11.21875" bestFit="1" customWidth="1"/>
    <col min="66" max="66" width="9.21875" bestFit="1" customWidth="1"/>
    <col min="67" max="67" width="6.109375" bestFit="1" customWidth="1"/>
    <col min="68" max="70" width="11.21875" bestFit="1" customWidth="1"/>
    <col min="71" max="71" width="11.5546875" bestFit="1" customWidth="1"/>
    <col min="72" max="72" width="7" bestFit="1" customWidth="1"/>
    <col min="73" max="73" width="6.109375" bestFit="1" customWidth="1"/>
    <col min="74" max="74" width="5.5546875" bestFit="1" customWidth="1"/>
    <col min="75" max="75" width="9" bestFit="1" customWidth="1"/>
    <col min="76" max="76" width="6.6640625" bestFit="1" customWidth="1"/>
    <col min="77" max="79" width="6.109375" bestFit="1" customWidth="1"/>
    <col min="80" max="80" width="11.5546875" bestFit="1" customWidth="1"/>
    <col min="81" max="81" width="10" bestFit="1" customWidth="1"/>
    <col min="82" max="82" width="11.21875" bestFit="1" customWidth="1"/>
    <col min="83" max="83" width="9.21875" bestFit="1" customWidth="1"/>
    <col min="84" max="84" width="6.109375" bestFit="1" customWidth="1"/>
    <col min="85" max="86" width="11.21875" bestFit="1" customWidth="1"/>
    <col min="87" max="87" width="12.21875" bestFit="1" customWidth="1"/>
    <col min="88" max="88" width="10" bestFit="1" customWidth="1"/>
    <col min="89" max="89" width="7" bestFit="1" customWidth="1"/>
    <col min="90" max="90" width="6.109375" bestFit="1" customWidth="1"/>
    <col min="91" max="91" width="5.5546875" bestFit="1" customWidth="1"/>
    <col min="92" max="92" width="8" bestFit="1" customWidth="1"/>
    <col min="93" max="93" width="6.6640625" bestFit="1" customWidth="1"/>
    <col min="94" max="96" width="6.109375" bestFit="1" customWidth="1"/>
    <col min="97" max="97" width="10" bestFit="1" customWidth="1"/>
    <col min="98" max="98" width="9" bestFit="1" customWidth="1"/>
    <col min="99" max="99" width="11.21875" bestFit="1" customWidth="1"/>
    <col min="100" max="100" width="9.21875" bestFit="1" customWidth="1"/>
    <col min="101" max="101" width="6.109375" bestFit="1" customWidth="1"/>
    <col min="102" max="103" width="11.21875" bestFit="1" customWidth="1"/>
    <col min="104" max="104" width="12.21875" bestFit="1" customWidth="1"/>
    <col min="105" max="105" width="11.5546875" bestFit="1" customWidth="1"/>
    <col min="106" max="106" width="9" bestFit="1" customWidth="1"/>
    <col min="107" max="107" width="6.109375" bestFit="1" customWidth="1"/>
    <col min="108" max="108" width="6.5546875" bestFit="1" customWidth="1"/>
    <col min="109" max="109" width="10" bestFit="1" customWidth="1"/>
    <col min="110" max="110" width="9" bestFit="1" customWidth="1"/>
    <col min="111" max="113" width="6.109375" bestFit="1" customWidth="1"/>
    <col min="114" max="115" width="11.5546875" bestFit="1" customWidth="1"/>
    <col min="116" max="116" width="12.6640625" bestFit="1" customWidth="1"/>
    <col min="117" max="117" width="10.21875" bestFit="1" customWidth="1"/>
    <col min="118" max="118" width="6.109375" bestFit="1" customWidth="1"/>
    <col min="119" max="119" width="12.6640625" bestFit="1" customWidth="1"/>
    <col min="120" max="120" width="12.109375" bestFit="1" customWidth="1"/>
    <col min="121" max="121" width="12.21875" bestFit="1" customWidth="1"/>
    <col min="122" max="122" width="11.5546875" bestFit="1" customWidth="1"/>
    <col min="123" max="123" width="8" bestFit="1" customWidth="1"/>
    <col min="124" max="124" width="6.109375" bestFit="1" customWidth="1"/>
    <col min="125" max="125" width="6.5546875" bestFit="1" customWidth="1"/>
    <col min="126" max="126" width="10" bestFit="1" customWidth="1"/>
    <col min="127" max="127" width="8" bestFit="1" customWidth="1"/>
    <col min="128" max="130" width="6.109375" bestFit="1" customWidth="1"/>
    <col min="131" max="132" width="11.5546875" bestFit="1" customWidth="1"/>
    <col min="133" max="133" width="11.21875" bestFit="1" customWidth="1"/>
    <col min="134" max="134" width="10" bestFit="1" customWidth="1"/>
    <col min="135" max="135" width="6.109375" bestFit="1" customWidth="1"/>
    <col min="136" max="136" width="11.5546875" bestFit="1" customWidth="1"/>
    <col min="137" max="137" width="11.21875" bestFit="1" customWidth="1"/>
    <col min="138" max="138" width="12.21875" bestFit="1" customWidth="1"/>
    <col min="139" max="139" width="11.5546875" bestFit="1" customWidth="1"/>
    <col min="140" max="140" width="8" bestFit="1" customWidth="1"/>
    <col min="141" max="141" width="6.109375" bestFit="1" customWidth="1"/>
    <col min="142" max="142" width="5.5546875" bestFit="1" customWidth="1"/>
    <col min="143" max="143" width="9" bestFit="1" customWidth="1"/>
    <col min="144" max="144" width="8" bestFit="1" customWidth="1"/>
    <col min="145" max="147" width="6.109375" bestFit="1" customWidth="1"/>
    <col min="148" max="148" width="11.5546875" bestFit="1" customWidth="1"/>
    <col min="149" max="149" width="10.77734375" bestFit="1" customWidth="1"/>
    <col min="150" max="150" width="11.21875" bestFit="1" customWidth="1"/>
    <col min="151" max="151" width="10" bestFit="1" customWidth="1"/>
    <col min="152" max="152" width="6.109375" bestFit="1" customWidth="1"/>
    <col min="153" max="153" width="11.5546875" bestFit="1" customWidth="1"/>
    <col min="154" max="154" width="11.21875" bestFit="1" customWidth="1"/>
    <col min="155" max="155" width="12.21875" bestFit="1" customWidth="1"/>
    <col min="156" max="156" width="11.5546875" bestFit="1" customWidth="1"/>
    <col min="157" max="157" width="8" bestFit="1" customWidth="1"/>
    <col min="158" max="158" width="6.109375" bestFit="1" customWidth="1"/>
    <col min="159" max="159" width="6.5546875" bestFit="1" customWidth="1"/>
    <col min="160" max="160" width="9" bestFit="1" customWidth="1"/>
    <col min="161" max="161" width="8" bestFit="1" customWidth="1"/>
    <col min="162" max="164" width="6.109375" bestFit="1" customWidth="1"/>
    <col min="165" max="166" width="11.5546875" bestFit="1" customWidth="1"/>
    <col min="167" max="167" width="11.21875" bestFit="1" customWidth="1"/>
    <col min="168" max="168" width="10" bestFit="1" customWidth="1"/>
    <col min="169" max="169" width="6.109375" bestFit="1" customWidth="1"/>
    <col min="170" max="170" width="11.5546875" bestFit="1" customWidth="1"/>
    <col min="171" max="171" width="11.21875" bestFit="1" customWidth="1"/>
    <col min="172" max="172" width="12.21875" bestFit="1" customWidth="1"/>
    <col min="173" max="173" width="10" bestFit="1" customWidth="1"/>
    <col min="174" max="174" width="7" bestFit="1" customWidth="1"/>
    <col min="175" max="175" width="6.109375" bestFit="1" customWidth="1"/>
    <col min="176" max="176" width="5.5546875" bestFit="1" customWidth="1"/>
    <col min="177" max="177" width="9" bestFit="1" customWidth="1"/>
    <col min="178" max="178" width="6.6640625" bestFit="1" customWidth="1"/>
    <col min="179" max="181" width="6.109375" bestFit="1" customWidth="1"/>
    <col min="182" max="183" width="10" bestFit="1" customWidth="1"/>
    <col min="184" max="184" width="11.21875" bestFit="1" customWidth="1"/>
    <col min="185" max="185" width="9.21875" bestFit="1" customWidth="1"/>
    <col min="186" max="186" width="6.109375" bestFit="1" customWidth="1"/>
    <col min="187" max="188" width="11.21875" bestFit="1" customWidth="1"/>
    <col min="189" max="189" width="12.21875" bestFit="1" customWidth="1"/>
    <col min="190" max="190" width="10" bestFit="1" customWidth="1"/>
    <col min="191" max="191" width="8" bestFit="1" customWidth="1"/>
    <col min="192" max="192" width="6.109375" bestFit="1" customWidth="1"/>
    <col min="193" max="193" width="5.5546875" bestFit="1" customWidth="1"/>
    <col min="194" max="194" width="9" bestFit="1" customWidth="1"/>
    <col min="195" max="195" width="8" bestFit="1" customWidth="1"/>
    <col min="196" max="198" width="6.109375" bestFit="1" customWidth="1"/>
    <col min="199" max="200" width="10" bestFit="1" customWidth="1"/>
    <col min="201" max="201" width="11.21875" bestFit="1" customWidth="1"/>
    <col min="202" max="202" width="10" bestFit="1" customWidth="1"/>
    <col min="203" max="203" width="6.109375" bestFit="1" customWidth="1"/>
    <col min="204" max="205" width="11.21875" bestFit="1" customWidth="1"/>
    <col min="206" max="206" width="12.21875" bestFit="1" customWidth="1"/>
    <col min="207" max="207" width="11.5546875" bestFit="1" customWidth="1"/>
    <col min="208" max="208" width="8" bestFit="1" customWidth="1"/>
    <col min="209" max="209" width="6.109375" bestFit="1" customWidth="1"/>
    <col min="210" max="210" width="5.5546875" bestFit="1" customWidth="1"/>
    <col min="211" max="211" width="9" bestFit="1" customWidth="1"/>
    <col min="212" max="212" width="8" bestFit="1" customWidth="1"/>
    <col min="213" max="215" width="6.109375" bestFit="1" customWidth="1"/>
    <col min="216" max="216" width="11.5546875" bestFit="1" customWidth="1"/>
    <col min="217" max="217" width="10" bestFit="1" customWidth="1"/>
    <col min="218" max="218" width="11.21875" bestFit="1" customWidth="1"/>
    <col min="219" max="219" width="10" bestFit="1" customWidth="1"/>
    <col min="220" max="220" width="6.109375" bestFit="1" customWidth="1"/>
    <col min="221" max="222" width="11.21875" bestFit="1" customWidth="1"/>
    <col min="223" max="223" width="12.21875" bestFit="1" customWidth="1"/>
    <col min="224" max="224" width="11.5546875" bestFit="1" customWidth="1"/>
    <col min="225" max="225" width="8" bestFit="1" customWidth="1"/>
    <col min="226" max="226" width="6.109375" bestFit="1" customWidth="1"/>
    <col min="227" max="227" width="6.5546875" bestFit="1" customWidth="1"/>
    <col min="228" max="228" width="9" bestFit="1" customWidth="1"/>
    <col min="229" max="229" width="8" bestFit="1" customWidth="1"/>
    <col min="230" max="232" width="6.109375" bestFit="1" customWidth="1"/>
    <col min="233" max="233" width="11.5546875" bestFit="1" customWidth="1"/>
    <col min="234" max="234" width="10.77734375" bestFit="1" customWidth="1"/>
    <col min="235" max="235" width="12.6640625" bestFit="1" customWidth="1"/>
    <col min="236" max="236" width="10.21875" bestFit="1" customWidth="1"/>
    <col min="237" max="237" width="6.109375" bestFit="1" customWidth="1"/>
    <col min="238" max="238" width="12.6640625" bestFit="1" customWidth="1"/>
    <col min="239" max="239" width="11.21875" bestFit="1" customWidth="1"/>
    <col min="240" max="240" width="12.21875" bestFit="1" customWidth="1"/>
    <col min="241" max="241" width="11.5546875" bestFit="1" customWidth="1"/>
    <col min="242" max="242" width="8" bestFit="1" customWidth="1"/>
    <col min="243" max="243" width="6.109375" bestFit="1" customWidth="1"/>
    <col min="244" max="244" width="6.5546875" bestFit="1" customWidth="1"/>
    <col min="245" max="245" width="9" bestFit="1" customWidth="1"/>
    <col min="246" max="246" width="8" bestFit="1" customWidth="1"/>
    <col min="247" max="249" width="6.109375" bestFit="1" customWidth="1"/>
    <col min="250" max="250" width="11.5546875" bestFit="1" customWidth="1"/>
    <col min="251" max="251" width="10" bestFit="1" customWidth="1"/>
    <col min="252" max="252" width="12.6640625" bestFit="1" customWidth="1"/>
    <col min="253" max="253" width="10.21875" bestFit="1" customWidth="1"/>
    <col min="254" max="254" width="6.109375" bestFit="1" customWidth="1"/>
    <col min="255" max="255" width="12.6640625" bestFit="1" customWidth="1"/>
    <col min="256" max="256" width="11.21875" bestFit="1" customWidth="1"/>
    <col min="257" max="257" width="12.21875" bestFit="1" customWidth="1"/>
  </cols>
  <sheetData>
    <row r="1" spans="1:257" x14ac:dyDescent="0.3">
      <c r="C1" s="223" t="s">
        <v>27</v>
      </c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5"/>
      <c r="T1" s="223" t="s">
        <v>28</v>
      </c>
      <c r="U1" s="224"/>
      <c r="V1" s="224"/>
      <c r="W1" s="224"/>
      <c r="X1" s="224"/>
      <c r="Y1" s="224"/>
      <c r="Z1" s="224"/>
      <c r="AA1" s="224"/>
      <c r="AB1" s="224"/>
      <c r="AC1" s="224"/>
      <c r="AD1" s="224"/>
      <c r="AE1" s="224"/>
      <c r="AF1" s="224"/>
      <c r="AG1" s="224"/>
      <c r="AH1" s="224"/>
      <c r="AI1" s="224"/>
      <c r="AJ1" s="225"/>
      <c r="AK1" s="223" t="s">
        <v>35</v>
      </c>
      <c r="AL1" s="224"/>
      <c r="AM1" s="224"/>
      <c r="AN1" s="224"/>
      <c r="AO1" s="224"/>
      <c r="AP1" s="224"/>
      <c r="AQ1" s="224"/>
      <c r="AR1" s="224"/>
      <c r="AS1" s="224"/>
      <c r="AT1" s="224"/>
      <c r="AU1" s="224"/>
      <c r="AV1" s="224"/>
      <c r="AW1" s="224"/>
      <c r="AX1" s="224"/>
      <c r="AY1" s="224"/>
      <c r="AZ1" s="224"/>
      <c r="BA1" s="225"/>
      <c r="BB1" s="223" t="s">
        <v>36</v>
      </c>
      <c r="BC1" s="224"/>
      <c r="BD1" s="224"/>
      <c r="BE1" s="224"/>
      <c r="BF1" s="224"/>
      <c r="BG1" s="224"/>
      <c r="BH1" s="224"/>
      <c r="BI1" s="224"/>
      <c r="BJ1" s="224"/>
      <c r="BK1" s="224"/>
      <c r="BL1" s="224"/>
      <c r="BM1" s="224"/>
      <c r="BN1" s="224"/>
      <c r="BO1" s="224"/>
      <c r="BP1" s="224"/>
      <c r="BQ1" s="224"/>
      <c r="BR1" s="225"/>
      <c r="BS1" s="223" t="s">
        <v>37</v>
      </c>
      <c r="BT1" s="224"/>
      <c r="BU1" s="224"/>
      <c r="BV1" s="224"/>
      <c r="BW1" s="224"/>
      <c r="BX1" s="224"/>
      <c r="BY1" s="224"/>
      <c r="BZ1" s="224"/>
      <c r="CA1" s="224"/>
      <c r="CB1" s="224"/>
      <c r="CC1" s="224"/>
      <c r="CD1" s="224"/>
      <c r="CE1" s="224"/>
      <c r="CF1" s="224"/>
      <c r="CG1" s="224"/>
      <c r="CH1" s="224"/>
      <c r="CI1" s="225"/>
      <c r="CJ1" s="223" t="s">
        <v>38</v>
      </c>
      <c r="CK1" s="224"/>
      <c r="CL1" s="224"/>
      <c r="CM1" s="224"/>
      <c r="CN1" s="224"/>
      <c r="CO1" s="224"/>
      <c r="CP1" s="224"/>
      <c r="CQ1" s="224"/>
      <c r="CR1" s="224"/>
      <c r="CS1" s="224"/>
      <c r="CT1" s="224"/>
      <c r="CU1" s="224"/>
      <c r="CV1" s="224"/>
      <c r="CW1" s="224"/>
      <c r="CX1" s="224"/>
      <c r="CY1" s="224"/>
      <c r="CZ1" s="225"/>
      <c r="DA1" s="223" t="s">
        <v>39</v>
      </c>
      <c r="DB1" s="224"/>
      <c r="DC1" s="224"/>
      <c r="DD1" s="224"/>
      <c r="DE1" s="224"/>
      <c r="DF1" s="224"/>
      <c r="DG1" s="224"/>
      <c r="DH1" s="224"/>
      <c r="DI1" s="224"/>
      <c r="DJ1" s="224"/>
      <c r="DK1" s="224"/>
      <c r="DL1" s="224"/>
      <c r="DM1" s="224"/>
      <c r="DN1" s="224"/>
      <c r="DO1" s="224"/>
      <c r="DP1" s="224"/>
      <c r="DQ1" s="225"/>
      <c r="DR1" s="223" t="s">
        <v>29</v>
      </c>
      <c r="DS1" s="224"/>
      <c r="DT1" s="224"/>
      <c r="DU1" s="224"/>
      <c r="DV1" s="224"/>
      <c r="DW1" s="224"/>
      <c r="DX1" s="224"/>
      <c r="DY1" s="224"/>
      <c r="DZ1" s="224"/>
      <c r="EA1" s="224"/>
      <c r="EB1" s="224"/>
      <c r="EC1" s="224"/>
      <c r="ED1" s="224"/>
      <c r="EE1" s="224"/>
      <c r="EF1" s="224"/>
      <c r="EG1" s="224"/>
      <c r="EH1" s="225"/>
      <c r="EI1" s="223" t="s">
        <v>30</v>
      </c>
      <c r="EJ1" s="224"/>
      <c r="EK1" s="224"/>
      <c r="EL1" s="224"/>
      <c r="EM1" s="224"/>
      <c r="EN1" s="224"/>
      <c r="EO1" s="224"/>
      <c r="EP1" s="224"/>
      <c r="EQ1" s="224"/>
      <c r="ER1" s="224"/>
      <c r="ES1" s="224"/>
      <c r="ET1" s="224"/>
      <c r="EU1" s="224"/>
      <c r="EV1" s="224"/>
      <c r="EW1" s="224"/>
      <c r="EX1" s="224"/>
      <c r="EY1" s="225"/>
      <c r="EZ1" s="223" t="s">
        <v>31</v>
      </c>
      <c r="FA1" s="224"/>
      <c r="FB1" s="224"/>
      <c r="FC1" s="224"/>
      <c r="FD1" s="224"/>
      <c r="FE1" s="224"/>
      <c r="FF1" s="224"/>
      <c r="FG1" s="224"/>
      <c r="FH1" s="224"/>
      <c r="FI1" s="224"/>
      <c r="FJ1" s="224"/>
      <c r="FK1" s="224"/>
      <c r="FL1" s="224"/>
      <c r="FM1" s="224"/>
      <c r="FN1" s="224"/>
      <c r="FO1" s="224"/>
      <c r="FP1" s="225"/>
      <c r="FQ1" s="223" t="s">
        <v>32</v>
      </c>
      <c r="FR1" s="224"/>
      <c r="FS1" s="224"/>
      <c r="FT1" s="224"/>
      <c r="FU1" s="224"/>
      <c r="FV1" s="224"/>
      <c r="FW1" s="224"/>
      <c r="FX1" s="224"/>
      <c r="FY1" s="224"/>
      <c r="FZ1" s="224"/>
      <c r="GA1" s="224"/>
      <c r="GB1" s="224"/>
      <c r="GC1" s="224"/>
      <c r="GD1" s="224"/>
      <c r="GE1" s="224"/>
      <c r="GF1" s="224"/>
      <c r="GG1" s="225"/>
      <c r="GH1" s="223" t="s">
        <v>40</v>
      </c>
      <c r="GI1" s="224"/>
      <c r="GJ1" s="224"/>
      <c r="GK1" s="224"/>
      <c r="GL1" s="224"/>
      <c r="GM1" s="224"/>
      <c r="GN1" s="224"/>
      <c r="GO1" s="224"/>
      <c r="GP1" s="224"/>
      <c r="GQ1" s="224"/>
      <c r="GR1" s="224"/>
      <c r="GS1" s="224"/>
      <c r="GT1" s="224"/>
      <c r="GU1" s="224"/>
      <c r="GV1" s="224"/>
      <c r="GW1" s="224"/>
      <c r="GX1" s="225"/>
      <c r="GY1" s="223" t="s">
        <v>33</v>
      </c>
      <c r="GZ1" s="224"/>
      <c r="HA1" s="224"/>
      <c r="HB1" s="224"/>
      <c r="HC1" s="224"/>
      <c r="HD1" s="224"/>
      <c r="HE1" s="224"/>
      <c r="HF1" s="224"/>
      <c r="HG1" s="224"/>
      <c r="HH1" s="224"/>
      <c r="HI1" s="224"/>
      <c r="HJ1" s="224"/>
      <c r="HK1" s="224"/>
      <c r="HL1" s="224"/>
      <c r="HM1" s="224"/>
      <c r="HN1" s="224"/>
      <c r="HO1" s="225"/>
      <c r="HP1" s="223" t="s">
        <v>26</v>
      </c>
      <c r="HQ1" s="224"/>
      <c r="HR1" s="224"/>
      <c r="HS1" s="224"/>
      <c r="HT1" s="224"/>
      <c r="HU1" s="224"/>
      <c r="HV1" s="224"/>
      <c r="HW1" s="224"/>
      <c r="HX1" s="224"/>
      <c r="HY1" s="224"/>
      <c r="HZ1" s="224"/>
      <c r="IA1" s="224"/>
      <c r="IB1" s="224"/>
      <c r="IC1" s="224"/>
      <c r="ID1" s="224"/>
      <c r="IE1" s="224"/>
      <c r="IF1" s="225"/>
      <c r="IG1" s="223" t="s">
        <v>34</v>
      </c>
      <c r="IH1" s="224"/>
      <c r="II1" s="224"/>
      <c r="IJ1" s="224"/>
      <c r="IK1" s="224"/>
      <c r="IL1" s="224"/>
      <c r="IM1" s="224"/>
      <c r="IN1" s="224"/>
      <c r="IO1" s="224"/>
      <c r="IP1" s="224"/>
      <c r="IQ1" s="224"/>
      <c r="IR1" s="224"/>
      <c r="IS1" s="224"/>
      <c r="IT1" s="224"/>
      <c r="IU1" s="224"/>
      <c r="IV1" s="224"/>
      <c r="IW1" s="225"/>
    </row>
    <row r="2" spans="1:257" x14ac:dyDescent="0.3">
      <c r="B2" s="12"/>
      <c r="C2" s="227" t="s">
        <v>129</v>
      </c>
      <c r="D2" s="228"/>
      <c r="E2" s="228"/>
      <c r="F2" s="228"/>
      <c r="G2" s="228"/>
      <c r="H2" s="228"/>
      <c r="I2" s="228"/>
      <c r="J2" s="228"/>
      <c r="K2" s="228"/>
      <c r="L2" s="228"/>
      <c r="M2" s="229"/>
      <c r="N2" s="227" t="s">
        <v>130</v>
      </c>
      <c r="O2" s="228"/>
      <c r="P2" s="228"/>
      <c r="Q2" s="228"/>
      <c r="R2" s="229"/>
      <c r="S2" s="43"/>
      <c r="T2" s="227" t="s">
        <v>129</v>
      </c>
      <c r="U2" s="228"/>
      <c r="V2" s="228"/>
      <c r="W2" s="228"/>
      <c r="X2" s="228"/>
      <c r="Y2" s="228"/>
      <c r="Z2" s="228"/>
      <c r="AA2" s="228"/>
      <c r="AB2" s="228"/>
      <c r="AC2" s="228"/>
      <c r="AD2" s="229"/>
      <c r="AE2" s="227" t="s">
        <v>130</v>
      </c>
      <c r="AF2" s="228"/>
      <c r="AG2" s="228"/>
      <c r="AH2" s="228"/>
      <c r="AI2" s="229"/>
      <c r="AJ2" s="43"/>
      <c r="AK2" s="227" t="s">
        <v>129</v>
      </c>
      <c r="AL2" s="228"/>
      <c r="AM2" s="228"/>
      <c r="AN2" s="228"/>
      <c r="AO2" s="228"/>
      <c r="AP2" s="228"/>
      <c r="AQ2" s="228"/>
      <c r="AR2" s="228"/>
      <c r="AS2" s="228"/>
      <c r="AT2" s="228"/>
      <c r="AU2" s="229"/>
      <c r="AV2" s="227" t="s">
        <v>130</v>
      </c>
      <c r="AW2" s="228"/>
      <c r="AX2" s="228"/>
      <c r="AY2" s="228"/>
      <c r="AZ2" s="229"/>
      <c r="BA2" s="43"/>
      <c r="BB2" s="227" t="s">
        <v>129</v>
      </c>
      <c r="BC2" s="228"/>
      <c r="BD2" s="228"/>
      <c r="BE2" s="228"/>
      <c r="BF2" s="228"/>
      <c r="BG2" s="228"/>
      <c r="BH2" s="228"/>
      <c r="BI2" s="228"/>
      <c r="BJ2" s="228"/>
      <c r="BK2" s="228"/>
      <c r="BL2" s="229"/>
      <c r="BM2" s="227" t="s">
        <v>130</v>
      </c>
      <c r="BN2" s="228"/>
      <c r="BO2" s="228"/>
      <c r="BP2" s="228"/>
      <c r="BQ2" s="229"/>
      <c r="BR2" s="43"/>
      <c r="BS2" s="227" t="s">
        <v>129</v>
      </c>
      <c r="BT2" s="228"/>
      <c r="BU2" s="228"/>
      <c r="BV2" s="228"/>
      <c r="BW2" s="228"/>
      <c r="BX2" s="228"/>
      <c r="BY2" s="228"/>
      <c r="BZ2" s="228"/>
      <c r="CA2" s="228"/>
      <c r="CB2" s="228"/>
      <c r="CC2" s="229"/>
      <c r="CD2" s="227" t="s">
        <v>130</v>
      </c>
      <c r="CE2" s="228"/>
      <c r="CF2" s="228"/>
      <c r="CG2" s="228"/>
      <c r="CH2" s="229"/>
      <c r="CI2" s="43"/>
      <c r="CJ2" s="227" t="s">
        <v>129</v>
      </c>
      <c r="CK2" s="228"/>
      <c r="CL2" s="228"/>
      <c r="CM2" s="228"/>
      <c r="CN2" s="228"/>
      <c r="CO2" s="228"/>
      <c r="CP2" s="228"/>
      <c r="CQ2" s="228"/>
      <c r="CR2" s="228"/>
      <c r="CS2" s="228"/>
      <c r="CT2" s="229"/>
      <c r="CU2" s="227" t="s">
        <v>130</v>
      </c>
      <c r="CV2" s="228"/>
      <c r="CW2" s="228"/>
      <c r="CX2" s="228"/>
      <c r="CY2" s="229"/>
      <c r="CZ2" s="43"/>
      <c r="DA2" s="227" t="s">
        <v>129</v>
      </c>
      <c r="DB2" s="228"/>
      <c r="DC2" s="228"/>
      <c r="DD2" s="228"/>
      <c r="DE2" s="228"/>
      <c r="DF2" s="228"/>
      <c r="DG2" s="228"/>
      <c r="DH2" s="228"/>
      <c r="DI2" s="228"/>
      <c r="DJ2" s="228"/>
      <c r="DK2" s="229"/>
      <c r="DL2" s="227" t="s">
        <v>130</v>
      </c>
      <c r="DM2" s="228"/>
      <c r="DN2" s="228"/>
      <c r="DO2" s="228"/>
      <c r="DP2" s="229"/>
      <c r="DQ2" s="43"/>
      <c r="DR2" s="227" t="s">
        <v>129</v>
      </c>
      <c r="DS2" s="228"/>
      <c r="DT2" s="228"/>
      <c r="DU2" s="228"/>
      <c r="DV2" s="228"/>
      <c r="DW2" s="228"/>
      <c r="DX2" s="228"/>
      <c r="DY2" s="228"/>
      <c r="DZ2" s="228"/>
      <c r="EA2" s="228"/>
      <c r="EB2" s="229"/>
      <c r="EC2" s="227" t="s">
        <v>130</v>
      </c>
      <c r="ED2" s="228"/>
      <c r="EE2" s="228"/>
      <c r="EF2" s="228"/>
      <c r="EG2" s="229"/>
      <c r="EH2" s="43"/>
      <c r="EI2" s="227" t="s">
        <v>129</v>
      </c>
      <c r="EJ2" s="228"/>
      <c r="EK2" s="228"/>
      <c r="EL2" s="228"/>
      <c r="EM2" s="228"/>
      <c r="EN2" s="228"/>
      <c r="EO2" s="228"/>
      <c r="EP2" s="228"/>
      <c r="EQ2" s="228"/>
      <c r="ER2" s="228"/>
      <c r="ES2" s="229"/>
      <c r="ET2" s="227" t="s">
        <v>130</v>
      </c>
      <c r="EU2" s="228"/>
      <c r="EV2" s="228"/>
      <c r="EW2" s="228"/>
      <c r="EX2" s="229"/>
      <c r="EY2" s="43"/>
      <c r="EZ2" s="227" t="s">
        <v>129</v>
      </c>
      <c r="FA2" s="228"/>
      <c r="FB2" s="228"/>
      <c r="FC2" s="228"/>
      <c r="FD2" s="228"/>
      <c r="FE2" s="228"/>
      <c r="FF2" s="228"/>
      <c r="FG2" s="228"/>
      <c r="FH2" s="228"/>
      <c r="FI2" s="228"/>
      <c r="FJ2" s="229"/>
      <c r="FK2" s="227" t="s">
        <v>130</v>
      </c>
      <c r="FL2" s="228"/>
      <c r="FM2" s="228"/>
      <c r="FN2" s="228"/>
      <c r="FO2" s="229"/>
      <c r="FP2" s="43"/>
      <c r="FQ2" s="227" t="s">
        <v>129</v>
      </c>
      <c r="FR2" s="228"/>
      <c r="FS2" s="228"/>
      <c r="FT2" s="228"/>
      <c r="FU2" s="228"/>
      <c r="FV2" s="228"/>
      <c r="FW2" s="228"/>
      <c r="FX2" s="228"/>
      <c r="FY2" s="228"/>
      <c r="FZ2" s="228"/>
      <c r="GA2" s="229"/>
      <c r="GB2" s="227" t="s">
        <v>130</v>
      </c>
      <c r="GC2" s="228"/>
      <c r="GD2" s="228"/>
      <c r="GE2" s="228"/>
      <c r="GF2" s="229"/>
      <c r="GG2" s="43"/>
      <c r="GH2" s="227" t="s">
        <v>129</v>
      </c>
      <c r="GI2" s="228"/>
      <c r="GJ2" s="228"/>
      <c r="GK2" s="228"/>
      <c r="GL2" s="228"/>
      <c r="GM2" s="228"/>
      <c r="GN2" s="228"/>
      <c r="GO2" s="228"/>
      <c r="GP2" s="228"/>
      <c r="GQ2" s="228"/>
      <c r="GR2" s="229"/>
      <c r="GS2" s="227" t="s">
        <v>130</v>
      </c>
      <c r="GT2" s="228"/>
      <c r="GU2" s="228"/>
      <c r="GV2" s="228"/>
      <c r="GW2" s="229"/>
      <c r="GX2" s="43"/>
      <c r="GY2" s="227" t="s">
        <v>129</v>
      </c>
      <c r="GZ2" s="228"/>
      <c r="HA2" s="228"/>
      <c r="HB2" s="228"/>
      <c r="HC2" s="228"/>
      <c r="HD2" s="228"/>
      <c r="HE2" s="228"/>
      <c r="HF2" s="228"/>
      <c r="HG2" s="228"/>
      <c r="HH2" s="228"/>
      <c r="HI2" s="229"/>
      <c r="HJ2" s="227" t="s">
        <v>130</v>
      </c>
      <c r="HK2" s="228"/>
      <c r="HL2" s="228"/>
      <c r="HM2" s="228"/>
      <c r="HN2" s="229"/>
      <c r="HO2" s="43"/>
      <c r="HP2" s="227" t="s">
        <v>129</v>
      </c>
      <c r="HQ2" s="228"/>
      <c r="HR2" s="228"/>
      <c r="HS2" s="228"/>
      <c r="HT2" s="228"/>
      <c r="HU2" s="228"/>
      <c r="HV2" s="228"/>
      <c r="HW2" s="228"/>
      <c r="HX2" s="228"/>
      <c r="HY2" s="228"/>
      <c r="HZ2" s="229"/>
      <c r="IA2" s="227" t="s">
        <v>130</v>
      </c>
      <c r="IB2" s="228"/>
      <c r="IC2" s="228"/>
      <c r="ID2" s="228"/>
      <c r="IE2" s="229"/>
      <c r="IF2" s="43"/>
      <c r="IG2" s="227" t="s">
        <v>129</v>
      </c>
      <c r="IH2" s="228"/>
      <c r="II2" s="228"/>
      <c r="IJ2" s="228"/>
      <c r="IK2" s="228"/>
      <c r="IL2" s="228"/>
      <c r="IM2" s="228"/>
      <c r="IN2" s="228"/>
      <c r="IO2" s="228"/>
      <c r="IP2" s="228"/>
      <c r="IQ2" s="229"/>
      <c r="IR2" s="227" t="s">
        <v>130</v>
      </c>
      <c r="IS2" s="228"/>
      <c r="IT2" s="228"/>
      <c r="IU2" s="228"/>
      <c r="IV2" s="229"/>
      <c r="IW2" s="43"/>
    </row>
    <row r="3" spans="1:257" x14ac:dyDescent="0.3">
      <c r="B3" s="39"/>
      <c r="C3" s="46" t="s">
        <v>131</v>
      </c>
      <c r="D3" s="226" t="s">
        <v>132</v>
      </c>
      <c r="E3" s="226"/>
      <c r="F3" s="226"/>
      <c r="G3" s="226" t="s">
        <v>133</v>
      </c>
      <c r="H3" s="226"/>
      <c r="I3" s="226" t="s">
        <v>134</v>
      </c>
      <c r="J3" s="226"/>
      <c r="K3" s="44"/>
      <c r="L3" s="44"/>
      <c r="M3" s="45"/>
      <c r="N3" s="46"/>
      <c r="O3" s="44"/>
      <c r="P3" s="44"/>
      <c r="Q3" s="44"/>
      <c r="R3" s="45"/>
      <c r="S3" s="13"/>
      <c r="T3" s="46" t="s">
        <v>131</v>
      </c>
      <c r="U3" s="226" t="s">
        <v>132</v>
      </c>
      <c r="V3" s="226"/>
      <c r="W3" s="226"/>
      <c r="X3" s="226" t="s">
        <v>133</v>
      </c>
      <c r="Y3" s="226"/>
      <c r="Z3" s="226" t="s">
        <v>134</v>
      </c>
      <c r="AA3" s="226"/>
      <c r="AB3" s="44"/>
      <c r="AC3" s="44"/>
      <c r="AD3" s="45"/>
      <c r="AE3" s="46"/>
      <c r="AF3" s="44"/>
      <c r="AG3" s="44"/>
      <c r="AH3" s="44"/>
      <c r="AI3" s="45"/>
      <c r="AJ3" s="13"/>
      <c r="AK3" s="46" t="s">
        <v>131</v>
      </c>
      <c r="AL3" s="226" t="s">
        <v>132</v>
      </c>
      <c r="AM3" s="226"/>
      <c r="AN3" s="226"/>
      <c r="AO3" s="226" t="s">
        <v>133</v>
      </c>
      <c r="AP3" s="226"/>
      <c r="AQ3" s="226" t="s">
        <v>134</v>
      </c>
      <c r="AR3" s="226"/>
      <c r="AS3" s="44"/>
      <c r="AT3" s="44"/>
      <c r="AU3" s="45"/>
      <c r="AV3" s="46"/>
      <c r="AW3" s="44"/>
      <c r="AX3" s="44"/>
      <c r="AY3" s="44"/>
      <c r="AZ3" s="45"/>
      <c r="BA3" s="13"/>
      <c r="BB3" s="46" t="s">
        <v>131</v>
      </c>
      <c r="BC3" s="226" t="s">
        <v>132</v>
      </c>
      <c r="BD3" s="226"/>
      <c r="BE3" s="226"/>
      <c r="BF3" s="226" t="s">
        <v>133</v>
      </c>
      <c r="BG3" s="226"/>
      <c r="BH3" s="226" t="s">
        <v>134</v>
      </c>
      <c r="BI3" s="226"/>
      <c r="BJ3" s="44"/>
      <c r="BK3" s="44"/>
      <c r="BL3" s="45"/>
      <c r="BM3" s="46"/>
      <c r="BN3" s="44"/>
      <c r="BO3" s="44"/>
      <c r="BP3" s="44"/>
      <c r="BQ3" s="45"/>
      <c r="BR3" s="13"/>
      <c r="BS3" s="46" t="s">
        <v>131</v>
      </c>
      <c r="BT3" s="226" t="s">
        <v>132</v>
      </c>
      <c r="BU3" s="226"/>
      <c r="BV3" s="226"/>
      <c r="BW3" s="226" t="s">
        <v>133</v>
      </c>
      <c r="BX3" s="226"/>
      <c r="BY3" s="226" t="s">
        <v>134</v>
      </c>
      <c r="BZ3" s="226"/>
      <c r="CA3" s="44"/>
      <c r="CB3" s="44"/>
      <c r="CC3" s="45"/>
      <c r="CD3" s="46"/>
      <c r="CE3" s="44"/>
      <c r="CF3" s="44"/>
      <c r="CG3" s="44"/>
      <c r="CH3" s="45"/>
      <c r="CI3" s="13"/>
      <c r="CJ3" s="46" t="s">
        <v>131</v>
      </c>
      <c r="CK3" s="226" t="s">
        <v>132</v>
      </c>
      <c r="CL3" s="226"/>
      <c r="CM3" s="226"/>
      <c r="CN3" s="226" t="s">
        <v>133</v>
      </c>
      <c r="CO3" s="226"/>
      <c r="CP3" s="226" t="s">
        <v>134</v>
      </c>
      <c r="CQ3" s="226"/>
      <c r="CR3" s="44"/>
      <c r="CS3" s="44"/>
      <c r="CT3" s="45"/>
      <c r="CU3" s="46"/>
      <c r="CV3" s="44"/>
      <c r="CW3" s="44"/>
      <c r="CX3" s="44"/>
      <c r="CY3" s="45"/>
      <c r="CZ3" s="13"/>
      <c r="DA3" s="46" t="s">
        <v>131</v>
      </c>
      <c r="DB3" s="226" t="s">
        <v>132</v>
      </c>
      <c r="DC3" s="226"/>
      <c r="DD3" s="226"/>
      <c r="DE3" s="226" t="s">
        <v>133</v>
      </c>
      <c r="DF3" s="226"/>
      <c r="DG3" s="226" t="s">
        <v>134</v>
      </c>
      <c r="DH3" s="226"/>
      <c r="DI3" s="44"/>
      <c r="DJ3" s="44"/>
      <c r="DK3" s="45"/>
      <c r="DL3" s="46"/>
      <c r="DM3" s="44"/>
      <c r="DN3" s="44"/>
      <c r="DO3" s="44"/>
      <c r="DP3" s="45"/>
      <c r="DQ3" s="13"/>
      <c r="DR3" s="46" t="s">
        <v>131</v>
      </c>
      <c r="DS3" s="226" t="s">
        <v>132</v>
      </c>
      <c r="DT3" s="226"/>
      <c r="DU3" s="226"/>
      <c r="DV3" s="226" t="s">
        <v>133</v>
      </c>
      <c r="DW3" s="226"/>
      <c r="DX3" s="226" t="s">
        <v>134</v>
      </c>
      <c r="DY3" s="226"/>
      <c r="DZ3" s="44"/>
      <c r="EA3" s="44"/>
      <c r="EB3" s="45"/>
      <c r="EC3" s="46"/>
      <c r="ED3" s="44"/>
      <c r="EE3" s="44"/>
      <c r="EF3" s="44"/>
      <c r="EG3" s="45"/>
      <c r="EH3" s="13"/>
      <c r="EI3" s="46" t="s">
        <v>131</v>
      </c>
      <c r="EJ3" s="226" t="s">
        <v>132</v>
      </c>
      <c r="EK3" s="226"/>
      <c r="EL3" s="226"/>
      <c r="EM3" s="226" t="s">
        <v>133</v>
      </c>
      <c r="EN3" s="226"/>
      <c r="EO3" s="226" t="s">
        <v>134</v>
      </c>
      <c r="EP3" s="226"/>
      <c r="EQ3" s="44"/>
      <c r="ER3" s="44"/>
      <c r="ES3" s="45"/>
      <c r="ET3" s="46"/>
      <c r="EU3" s="44"/>
      <c r="EV3" s="44"/>
      <c r="EW3" s="44"/>
      <c r="EX3" s="45"/>
      <c r="EY3" s="13"/>
      <c r="EZ3" s="46" t="s">
        <v>131</v>
      </c>
      <c r="FA3" s="226" t="s">
        <v>132</v>
      </c>
      <c r="FB3" s="226"/>
      <c r="FC3" s="226"/>
      <c r="FD3" s="226" t="s">
        <v>133</v>
      </c>
      <c r="FE3" s="226"/>
      <c r="FF3" s="226" t="s">
        <v>134</v>
      </c>
      <c r="FG3" s="226"/>
      <c r="FH3" s="44"/>
      <c r="FI3" s="44"/>
      <c r="FJ3" s="45"/>
      <c r="FK3" s="46"/>
      <c r="FL3" s="44"/>
      <c r="FM3" s="44"/>
      <c r="FN3" s="44"/>
      <c r="FO3" s="45"/>
      <c r="FP3" s="13"/>
      <c r="FQ3" s="46" t="s">
        <v>131</v>
      </c>
      <c r="FR3" s="226" t="s">
        <v>132</v>
      </c>
      <c r="FS3" s="226"/>
      <c r="FT3" s="226"/>
      <c r="FU3" s="226" t="s">
        <v>133</v>
      </c>
      <c r="FV3" s="226"/>
      <c r="FW3" s="226" t="s">
        <v>134</v>
      </c>
      <c r="FX3" s="226"/>
      <c r="FY3" s="44"/>
      <c r="FZ3" s="44"/>
      <c r="GA3" s="45"/>
      <c r="GB3" s="46"/>
      <c r="GC3" s="44"/>
      <c r="GD3" s="44"/>
      <c r="GE3" s="44"/>
      <c r="GF3" s="45"/>
      <c r="GG3" s="13"/>
      <c r="GH3" s="46" t="s">
        <v>131</v>
      </c>
      <c r="GI3" s="226" t="s">
        <v>132</v>
      </c>
      <c r="GJ3" s="226"/>
      <c r="GK3" s="226"/>
      <c r="GL3" s="226" t="s">
        <v>133</v>
      </c>
      <c r="GM3" s="226"/>
      <c r="GN3" s="226" t="s">
        <v>134</v>
      </c>
      <c r="GO3" s="226"/>
      <c r="GP3" s="44"/>
      <c r="GQ3" s="44"/>
      <c r="GR3" s="45"/>
      <c r="GS3" s="46"/>
      <c r="GT3" s="44"/>
      <c r="GU3" s="44"/>
      <c r="GV3" s="44"/>
      <c r="GW3" s="45"/>
      <c r="GX3" s="13"/>
      <c r="GY3" s="46" t="s">
        <v>131</v>
      </c>
      <c r="GZ3" s="226" t="s">
        <v>132</v>
      </c>
      <c r="HA3" s="226"/>
      <c r="HB3" s="226"/>
      <c r="HC3" s="226" t="s">
        <v>133</v>
      </c>
      <c r="HD3" s="226"/>
      <c r="HE3" s="226" t="s">
        <v>134</v>
      </c>
      <c r="HF3" s="226"/>
      <c r="HG3" s="44"/>
      <c r="HH3" s="44"/>
      <c r="HI3" s="45"/>
      <c r="HJ3" s="46"/>
      <c r="HK3" s="44"/>
      <c r="HL3" s="44"/>
      <c r="HM3" s="44"/>
      <c r="HN3" s="45"/>
      <c r="HO3" s="13"/>
      <c r="HP3" s="46" t="s">
        <v>131</v>
      </c>
      <c r="HQ3" s="226" t="s">
        <v>132</v>
      </c>
      <c r="HR3" s="226"/>
      <c r="HS3" s="226"/>
      <c r="HT3" s="226" t="s">
        <v>133</v>
      </c>
      <c r="HU3" s="226"/>
      <c r="HV3" s="226" t="s">
        <v>134</v>
      </c>
      <c r="HW3" s="226"/>
      <c r="HX3" s="44"/>
      <c r="HY3" s="44"/>
      <c r="HZ3" s="45"/>
      <c r="IA3" s="46"/>
      <c r="IB3" s="44"/>
      <c r="IC3" s="44"/>
      <c r="ID3" s="44"/>
      <c r="IE3" s="45"/>
      <c r="IF3" s="13"/>
      <c r="IG3" s="46" t="s">
        <v>131</v>
      </c>
      <c r="IH3" s="226" t="s">
        <v>132</v>
      </c>
      <c r="II3" s="226"/>
      <c r="IJ3" s="226"/>
      <c r="IK3" s="226" t="s">
        <v>133</v>
      </c>
      <c r="IL3" s="226"/>
      <c r="IM3" s="226" t="s">
        <v>134</v>
      </c>
      <c r="IN3" s="226"/>
      <c r="IO3" s="44"/>
      <c r="IP3" s="44"/>
      <c r="IQ3" s="45"/>
      <c r="IR3" s="46"/>
      <c r="IS3" s="44"/>
      <c r="IT3" s="44"/>
      <c r="IU3" s="44"/>
      <c r="IV3" s="45"/>
      <c r="IW3" s="13"/>
    </row>
    <row r="4" spans="1:257" ht="90.9" customHeight="1" x14ac:dyDescent="0.3">
      <c r="A4" t="s">
        <v>135</v>
      </c>
      <c r="B4" s="46" t="s">
        <v>58</v>
      </c>
      <c r="C4" s="47" t="s">
        <v>136</v>
      </c>
      <c r="D4" s="48" t="s">
        <v>137</v>
      </c>
      <c r="E4" s="48" t="s">
        <v>138</v>
      </c>
      <c r="F4" s="48" t="s">
        <v>139</v>
      </c>
      <c r="G4" s="48" t="s">
        <v>140</v>
      </c>
      <c r="H4" s="48" t="s">
        <v>141</v>
      </c>
      <c r="I4" s="48" t="s">
        <v>142</v>
      </c>
      <c r="J4" s="48" t="s">
        <v>143</v>
      </c>
      <c r="K4" s="48" t="s">
        <v>144</v>
      </c>
      <c r="L4" s="48" t="s">
        <v>145</v>
      </c>
      <c r="M4" s="49" t="s">
        <v>146</v>
      </c>
      <c r="N4" s="47" t="s">
        <v>147</v>
      </c>
      <c r="O4" s="48" t="s">
        <v>472</v>
      </c>
      <c r="P4" s="48" t="s">
        <v>148</v>
      </c>
      <c r="Q4" s="48" t="s">
        <v>149</v>
      </c>
      <c r="R4" s="49" t="s">
        <v>150</v>
      </c>
      <c r="S4" s="49" t="s">
        <v>151</v>
      </c>
      <c r="T4" s="47" t="s">
        <v>136</v>
      </c>
      <c r="U4" s="48" t="s">
        <v>137</v>
      </c>
      <c r="V4" s="48" t="s">
        <v>138</v>
      </c>
      <c r="W4" s="48" t="s">
        <v>139</v>
      </c>
      <c r="X4" s="48" t="s">
        <v>140</v>
      </c>
      <c r="Y4" s="48" t="s">
        <v>141</v>
      </c>
      <c r="Z4" s="48" t="s">
        <v>142</v>
      </c>
      <c r="AA4" s="48" t="s">
        <v>143</v>
      </c>
      <c r="AB4" s="48" t="s">
        <v>144</v>
      </c>
      <c r="AC4" s="48" t="s">
        <v>145</v>
      </c>
      <c r="AD4" s="49" t="s">
        <v>146</v>
      </c>
      <c r="AE4" s="47" t="s">
        <v>147</v>
      </c>
      <c r="AF4" s="48" t="s">
        <v>472</v>
      </c>
      <c r="AG4" s="48" t="s">
        <v>148</v>
      </c>
      <c r="AH4" s="48" t="s">
        <v>149</v>
      </c>
      <c r="AI4" s="49" t="s">
        <v>150</v>
      </c>
      <c r="AJ4" s="49" t="s">
        <v>151</v>
      </c>
      <c r="AK4" s="47" t="s">
        <v>136</v>
      </c>
      <c r="AL4" s="48" t="s">
        <v>137</v>
      </c>
      <c r="AM4" s="48" t="s">
        <v>138</v>
      </c>
      <c r="AN4" s="48" t="s">
        <v>139</v>
      </c>
      <c r="AO4" s="48" t="s">
        <v>140</v>
      </c>
      <c r="AP4" s="48" t="s">
        <v>141</v>
      </c>
      <c r="AQ4" s="48" t="s">
        <v>142</v>
      </c>
      <c r="AR4" s="48" t="s">
        <v>143</v>
      </c>
      <c r="AS4" s="48" t="s">
        <v>144</v>
      </c>
      <c r="AT4" s="48" t="s">
        <v>145</v>
      </c>
      <c r="AU4" s="49" t="s">
        <v>146</v>
      </c>
      <c r="AV4" s="47" t="s">
        <v>147</v>
      </c>
      <c r="AW4" s="48" t="s">
        <v>472</v>
      </c>
      <c r="AX4" s="48" t="s">
        <v>148</v>
      </c>
      <c r="AY4" s="48" t="s">
        <v>149</v>
      </c>
      <c r="AZ4" s="49" t="s">
        <v>150</v>
      </c>
      <c r="BA4" s="49" t="s">
        <v>151</v>
      </c>
      <c r="BB4" s="47" t="s">
        <v>136</v>
      </c>
      <c r="BC4" s="48" t="s">
        <v>137</v>
      </c>
      <c r="BD4" s="48" t="s">
        <v>138</v>
      </c>
      <c r="BE4" s="48" t="s">
        <v>139</v>
      </c>
      <c r="BF4" s="48" t="s">
        <v>140</v>
      </c>
      <c r="BG4" s="48" t="s">
        <v>141</v>
      </c>
      <c r="BH4" s="48" t="s">
        <v>142</v>
      </c>
      <c r="BI4" s="48" t="s">
        <v>143</v>
      </c>
      <c r="BJ4" s="48" t="s">
        <v>144</v>
      </c>
      <c r="BK4" s="48" t="s">
        <v>145</v>
      </c>
      <c r="BL4" s="49" t="s">
        <v>146</v>
      </c>
      <c r="BM4" s="47" t="s">
        <v>147</v>
      </c>
      <c r="BN4" s="48" t="s">
        <v>472</v>
      </c>
      <c r="BO4" s="48" t="s">
        <v>148</v>
      </c>
      <c r="BP4" s="48" t="s">
        <v>149</v>
      </c>
      <c r="BQ4" s="49" t="s">
        <v>150</v>
      </c>
      <c r="BR4" s="49" t="s">
        <v>151</v>
      </c>
      <c r="BS4" s="47" t="s">
        <v>136</v>
      </c>
      <c r="BT4" s="48" t="s">
        <v>137</v>
      </c>
      <c r="BU4" s="48" t="s">
        <v>138</v>
      </c>
      <c r="BV4" s="48" t="s">
        <v>139</v>
      </c>
      <c r="BW4" s="48" t="s">
        <v>140</v>
      </c>
      <c r="BX4" s="48" t="s">
        <v>141</v>
      </c>
      <c r="BY4" s="48" t="s">
        <v>142</v>
      </c>
      <c r="BZ4" s="48" t="s">
        <v>143</v>
      </c>
      <c r="CA4" s="48" t="s">
        <v>144</v>
      </c>
      <c r="CB4" s="48" t="s">
        <v>145</v>
      </c>
      <c r="CC4" s="49" t="s">
        <v>146</v>
      </c>
      <c r="CD4" s="47" t="s">
        <v>147</v>
      </c>
      <c r="CE4" s="48" t="s">
        <v>472</v>
      </c>
      <c r="CF4" s="48" t="s">
        <v>148</v>
      </c>
      <c r="CG4" s="48" t="s">
        <v>149</v>
      </c>
      <c r="CH4" s="49" t="s">
        <v>150</v>
      </c>
      <c r="CI4" s="49" t="s">
        <v>151</v>
      </c>
      <c r="CJ4" s="47" t="s">
        <v>136</v>
      </c>
      <c r="CK4" s="48" t="s">
        <v>137</v>
      </c>
      <c r="CL4" s="48" t="s">
        <v>138</v>
      </c>
      <c r="CM4" s="48" t="s">
        <v>139</v>
      </c>
      <c r="CN4" s="48" t="s">
        <v>140</v>
      </c>
      <c r="CO4" s="48" t="s">
        <v>141</v>
      </c>
      <c r="CP4" s="48" t="s">
        <v>142</v>
      </c>
      <c r="CQ4" s="48" t="s">
        <v>143</v>
      </c>
      <c r="CR4" s="48" t="s">
        <v>144</v>
      </c>
      <c r="CS4" s="48" t="s">
        <v>145</v>
      </c>
      <c r="CT4" s="49" t="s">
        <v>146</v>
      </c>
      <c r="CU4" s="47" t="s">
        <v>147</v>
      </c>
      <c r="CV4" s="48" t="s">
        <v>472</v>
      </c>
      <c r="CW4" s="48" t="s">
        <v>148</v>
      </c>
      <c r="CX4" s="48" t="s">
        <v>149</v>
      </c>
      <c r="CY4" s="49" t="s">
        <v>150</v>
      </c>
      <c r="CZ4" s="49" t="s">
        <v>151</v>
      </c>
      <c r="DA4" s="47" t="s">
        <v>136</v>
      </c>
      <c r="DB4" s="48" t="s">
        <v>137</v>
      </c>
      <c r="DC4" s="48" t="s">
        <v>138</v>
      </c>
      <c r="DD4" s="48" t="s">
        <v>139</v>
      </c>
      <c r="DE4" s="48" t="s">
        <v>140</v>
      </c>
      <c r="DF4" s="48" t="s">
        <v>141</v>
      </c>
      <c r="DG4" s="48" t="s">
        <v>142</v>
      </c>
      <c r="DH4" s="48" t="s">
        <v>143</v>
      </c>
      <c r="DI4" s="48" t="s">
        <v>144</v>
      </c>
      <c r="DJ4" s="48" t="s">
        <v>145</v>
      </c>
      <c r="DK4" s="49" t="s">
        <v>146</v>
      </c>
      <c r="DL4" s="47" t="s">
        <v>147</v>
      </c>
      <c r="DM4" s="48" t="s">
        <v>472</v>
      </c>
      <c r="DN4" s="48" t="s">
        <v>148</v>
      </c>
      <c r="DO4" s="48" t="s">
        <v>149</v>
      </c>
      <c r="DP4" s="49" t="s">
        <v>150</v>
      </c>
      <c r="DQ4" s="49" t="s">
        <v>151</v>
      </c>
      <c r="DR4" s="47" t="s">
        <v>136</v>
      </c>
      <c r="DS4" s="48" t="s">
        <v>137</v>
      </c>
      <c r="DT4" s="48" t="s">
        <v>138</v>
      </c>
      <c r="DU4" s="48" t="s">
        <v>139</v>
      </c>
      <c r="DV4" s="48" t="s">
        <v>140</v>
      </c>
      <c r="DW4" s="48" t="s">
        <v>141</v>
      </c>
      <c r="DX4" s="48" t="s">
        <v>142</v>
      </c>
      <c r="DY4" s="48" t="s">
        <v>143</v>
      </c>
      <c r="DZ4" s="48" t="s">
        <v>144</v>
      </c>
      <c r="EA4" s="48" t="s">
        <v>145</v>
      </c>
      <c r="EB4" s="49" t="s">
        <v>146</v>
      </c>
      <c r="EC4" s="47" t="s">
        <v>147</v>
      </c>
      <c r="ED4" s="48" t="s">
        <v>472</v>
      </c>
      <c r="EE4" s="48" t="s">
        <v>148</v>
      </c>
      <c r="EF4" s="48" t="s">
        <v>149</v>
      </c>
      <c r="EG4" s="49" t="s">
        <v>150</v>
      </c>
      <c r="EH4" s="49" t="s">
        <v>151</v>
      </c>
      <c r="EI4" s="47" t="s">
        <v>136</v>
      </c>
      <c r="EJ4" s="48" t="s">
        <v>137</v>
      </c>
      <c r="EK4" s="48" t="s">
        <v>138</v>
      </c>
      <c r="EL4" s="48" t="s">
        <v>139</v>
      </c>
      <c r="EM4" s="48" t="s">
        <v>140</v>
      </c>
      <c r="EN4" s="48" t="s">
        <v>141</v>
      </c>
      <c r="EO4" s="48" t="s">
        <v>142</v>
      </c>
      <c r="EP4" s="48" t="s">
        <v>143</v>
      </c>
      <c r="EQ4" s="48" t="s">
        <v>144</v>
      </c>
      <c r="ER4" s="48" t="s">
        <v>145</v>
      </c>
      <c r="ES4" s="49" t="s">
        <v>146</v>
      </c>
      <c r="ET4" s="47" t="s">
        <v>147</v>
      </c>
      <c r="EU4" s="48" t="s">
        <v>472</v>
      </c>
      <c r="EV4" s="48" t="s">
        <v>148</v>
      </c>
      <c r="EW4" s="48" t="s">
        <v>149</v>
      </c>
      <c r="EX4" s="49" t="s">
        <v>150</v>
      </c>
      <c r="EY4" s="49" t="s">
        <v>151</v>
      </c>
      <c r="EZ4" s="47" t="s">
        <v>136</v>
      </c>
      <c r="FA4" s="48" t="s">
        <v>137</v>
      </c>
      <c r="FB4" s="48" t="s">
        <v>138</v>
      </c>
      <c r="FC4" s="48" t="s">
        <v>139</v>
      </c>
      <c r="FD4" s="48" t="s">
        <v>140</v>
      </c>
      <c r="FE4" s="48" t="s">
        <v>141</v>
      </c>
      <c r="FF4" s="48" t="s">
        <v>142</v>
      </c>
      <c r="FG4" s="48" t="s">
        <v>143</v>
      </c>
      <c r="FH4" s="48" t="s">
        <v>144</v>
      </c>
      <c r="FI4" s="48" t="s">
        <v>145</v>
      </c>
      <c r="FJ4" s="49" t="s">
        <v>146</v>
      </c>
      <c r="FK4" s="47" t="s">
        <v>147</v>
      </c>
      <c r="FL4" s="48" t="s">
        <v>472</v>
      </c>
      <c r="FM4" s="48" t="s">
        <v>148</v>
      </c>
      <c r="FN4" s="48" t="s">
        <v>149</v>
      </c>
      <c r="FO4" s="49" t="s">
        <v>150</v>
      </c>
      <c r="FP4" s="49" t="s">
        <v>151</v>
      </c>
      <c r="FQ4" s="47" t="s">
        <v>136</v>
      </c>
      <c r="FR4" s="48" t="s">
        <v>137</v>
      </c>
      <c r="FS4" s="48" t="s">
        <v>138</v>
      </c>
      <c r="FT4" s="48" t="s">
        <v>139</v>
      </c>
      <c r="FU4" s="48" t="s">
        <v>140</v>
      </c>
      <c r="FV4" s="48" t="s">
        <v>141</v>
      </c>
      <c r="FW4" s="48" t="s">
        <v>142</v>
      </c>
      <c r="FX4" s="48" t="s">
        <v>143</v>
      </c>
      <c r="FY4" s="48" t="s">
        <v>144</v>
      </c>
      <c r="FZ4" s="48" t="s">
        <v>145</v>
      </c>
      <c r="GA4" s="49" t="s">
        <v>146</v>
      </c>
      <c r="GB4" s="47" t="s">
        <v>147</v>
      </c>
      <c r="GC4" s="48" t="s">
        <v>472</v>
      </c>
      <c r="GD4" s="48" t="s">
        <v>148</v>
      </c>
      <c r="GE4" s="48" t="s">
        <v>149</v>
      </c>
      <c r="GF4" s="49" t="s">
        <v>150</v>
      </c>
      <c r="GG4" s="49" t="s">
        <v>151</v>
      </c>
      <c r="GH4" s="47" t="s">
        <v>136</v>
      </c>
      <c r="GI4" s="48" t="s">
        <v>137</v>
      </c>
      <c r="GJ4" s="48" t="s">
        <v>138</v>
      </c>
      <c r="GK4" s="48" t="s">
        <v>139</v>
      </c>
      <c r="GL4" s="48" t="s">
        <v>140</v>
      </c>
      <c r="GM4" s="48" t="s">
        <v>141</v>
      </c>
      <c r="GN4" s="48" t="s">
        <v>142</v>
      </c>
      <c r="GO4" s="48" t="s">
        <v>143</v>
      </c>
      <c r="GP4" s="48" t="s">
        <v>144</v>
      </c>
      <c r="GQ4" s="48" t="s">
        <v>145</v>
      </c>
      <c r="GR4" s="49" t="s">
        <v>146</v>
      </c>
      <c r="GS4" s="47" t="s">
        <v>147</v>
      </c>
      <c r="GT4" s="48" t="s">
        <v>472</v>
      </c>
      <c r="GU4" s="48" t="s">
        <v>148</v>
      </c>
      <c r="GV4" s="48" t="s">
        <v>149</v>
      </c>
      <c r="GW4" s="49" t="s">
        <v>150</v>
      </c>
      <c r="GX4" s="49" t="s">
        <v>151</v>
      </c>
      <c r="GY4" s="47" t="s">
        <v>136</v>
      </c>
      <c r="GZ4" s="48" t="s">
        <v>137</v>
      </c>
      <c r="HA4" s="48" t="s">
        <v>138</v>
      </c>
      <c r="HB4" s="48" t="s">
        <v>139</v>
      </c>
      <c r="HC4" s="48" t="s">
        <v>140</v>
      </c>
      <c r="HD4" s="48" t="s">
        <v>141</v>
      </c>
      <c r="HE4" s="48" t="s">
        <v>142</v>
      </c>
      <c r="HF4" s="48" t="s">
        <v>143</v>
      </c>
      <c r="HG4" s="48" t="s">
        <v>144</v>
      </c>
      <c r="HH4" s="48" t="s">
        <v>145</v>
      </c>
      <c r="HI4" s="49" t="s">
        <v>146</v>
      </c>
      <c r="HJ4" s="47" t="s">
        <v>147</v>
      </c>
      <c r="HK4" s="48" t="s">
        <v>472</v>
      </c>
      <c r="HL4" s="48" t="s">
        <v>148</v>
      </c>
      <c r="HM4" s="48" t="s">
        <v>149</v>
      </c>
      <c r="HN4" s="49" t="s">
        <v>150</v>
      </c>
      <c r="HO4" s="49" t="s">
        <v>151</v>
      </c>
      <c r="HP4" s="47" t="s">
        <v>136</v>
      </c>
      <c r="HQ4" s="48" t="s">
        <v>137</v>
      </c>
      <c r="HR4" s="48" t="s">
        <v>138</v>
      </c>
      <c r="HS4" s="48" t="s">
        <v>139</v>
      </c>
      <c r="HT4" s="48" t="s">
        <v>140</v>
      </c>
      <c r="HU4" s="48" t="s">
        <v>141</v>
      </c>
      <c r="HV4" s="48" t="s">
        <v>142</v>
      </c>
      <c r="HW4" s="48" t="s">
        <v>143</v>
      </c>
      <c r="HX4" s="48" t="s">
        <v>144</v>
      </c>
      <c r="HY4" s="48" t="s">
        <v>145</v>
      </c>
      <c r="HZ4" s="49" t="s">
        <v>146</v>
      </c>
      <c r="IA4" s="47" t="s">
        <v>147</v>
      </c>
      <c r="IB4" s="48" t="s">
        <v>472</v>
      </c>
      <c r="IC4" s="48" t="s">
        <v>148</v>
      </c>
      <c r="ID4" s="48" t="s">
        <v>149</v>
      </c>
      <c r="IE4" s="49" t="s">
        <v>150</v>
      </c>
      <c r="IF4" s="49" t="s">
        <v>151</v>
      </c>
      <c r="IG4" s="47" t="s">
        <v>136</v>
      </c>
      <c r="IH4" s="48" t="s">
        <v>137</v>
      </c>
      <c r="II4" s="48" t="s">
        <v>138</v>
      </c>
      <c r="IJ4" s="48" t="s">
        <v>139</v>
      </c>
      <c r="IK4" s="48" t="s">
        <v>140</v>
      </c>
      <c r="IL4" s="48" t="s">
        <v>141</v>
      </c>
      <c r="IM4" s="48" t="s">
        <v>142</v>
      </c>
      <c r="IN4" s="48" t="s">
        <v>143</v>
      </c>
      <c r="IO4" s="48" t="s">
        <v>144</v>
      </c>
      <c r="IP4" s="48" t="s">
        <v>145</v>
      </c>
      <c r="IQ4" s="49" t="s">
        <v>146</v>
      </c>
      <c r="IR4" s="47" t="s">
        <v>147</v>
      </c>
      <c r="IS4" s="48" t="s">
        <v>472</v>
      </c>
      <c r="IT4" s="48" t="s">
        <v>148</v>
      </c>
      <c r="IU4" s="48" t="s">
        <v>149</v>
      </c>
      <c r="IV4" s="49" t="s">
        <v>150</v>
      </c>
      <c r="IW4" s="49" t="s">
        <v>151</v>
      </c>
    </row>
    <row r="5" spans="1:257" x14ac:dyDescent="0.3">
      <c r="A5">
        <v>0</v>
      </c>
      <c r="B5" s="34">
        <v>2021</v>
      </c>
      <c r="C5" s="47"/>
      <c r="D5" s="48"/>
      <c r="E5" s="48"/>
      <c r="F5" s="48"/>
      <c r="G5" s="48"/>
      <c r="H5" s="48"/>
      <c r="I5" s="48"/>
      <c r="J5" s="48"/>
      <c r="K5" s="48"/>
      <c r="L5" s="48"/>
      <c r="M5" s="49"/>
      <c r="N5" s="47"/>
      <c r="O5" s="48"/>
      <c r="P5" s="48"/>
      <c r="Q5" s="48"/>
      <c r="R5" s="49"/>
      <c r="S5" s="49"/>
      <c r="T5" s="47"/>
      <c r="U5" s="48"/>
      <c r="V5" s="48"/>
      <c r="W5" s="48"/>
      <c r="X5" s="48"/>
      <c r="Y5" s="48"/>
      <c r="Z5" s="48"/>
      <c r="AA5" s="48"/>
      <c r="AB5" s="48"/>
      <c r="AC5" s="48"/>
      <c r="AD5" s="49"/>
      <c r="AE5" s="47"/>
      <c r="AF5" s="48"/>
      <c r="AG5" s="48"/>
      <c r="AH5" s="48"/>
      <c r="AI5" s="49"/>
      <c r="AJ5" s="49"/>
      <c r="AK5" s="47"/>
      <c r="AL5" s="48"/>
      <c r="AM5" s="48"/>
      <c r="AN5" s="48"/>
      <c r="AO5" s="48"/>
      <c r="AP5" s="48"/>
      <c r="AQ5" s="48"/>
      <c r="AR5" s="48"/>
      <c r="AS5" s="48"/>
      <c r="AT5" s="48"/>
      <c r="AU5" s="49"/>
      <c r="AV5" s="47"/>
      <c r="AW5" s="48"/>
      <c r="AX5" s="48"/>
      <c r="AY5" s="48"/>
      <c r="AZ5" s="49"/>
      <c r="BA5" s="49"/>
      <c r="BB5" s="47"/>
      <c r="BC5" s="48"/>
      <c r="BD5" s="48"/>
      <c r="BE5" s="48"/>
      <c r="BF5" s="48"/>
      <c r="BG5" s="48"/>
      <c r="BH5" s="48"/>
      <c r="BI5" s="48"/>
      <c r="BJ5" s="48"/>
      <c r="BK5" s="48"/>
      <c r="BL5" s="49"/>
      <c r="BM5" s="47"/>
      <c r="BN5" s="48"/>
      <c r="BO5" s="48"/>
      <c r="BP5" s="48"/>
      <c r="BQ5" s="49"/>
      <c r="BR5" s="49"/>
      <c r="BS5" s="47"/>
      <c r="BT5" s="48"/>
      <c r="BU5" s="48"/>
      <c r="BV5" s="48"/>
      <c r="BW5" s="48"/>
      <c r="BX5" s="48"/>
      <c r="BY5" s="48"/>
      <c r="BZ5" s="48"/>
      <c r="CA5" s="48"/>
      <c r="CB5" s="48"/>
      <c r="CC5" s="49"/>
      <c r="CD5" s="47"/>
      <c r="CE5" s="48"/>
      <c r="CF5" s="48"/>
      <c r="CG5" s="48"/>
      <c r="CH5" s="49"/>
      <c r="CI5" s="49"/>
      <c r="CJ5" s="47"/>
      <c r="CK5" s="48"/>
      <c r="CL5" s="48"/>
      <c r="CM5" s="48"/>
      <c r="CN5" s="48"/>
      <c r="CO5" s="48"/>
      <c r="CP5" s="48"/>
      <c r="CQ5" s="48"/>
      <c r="CR5" s="48"/>
      <c r="CS5" s="48"/>
      <c r="CT5" s="49"/>
      <c r="CU5" s="47"/>
      <c r="CV5" s="48"/>
      <c r="CW5" s="48"/>
      <c r="CX5" s="48"/>
      <c r="CY5" s="49"/>
      <c r="CZ5" s="49"/>
      <c r="DA5" s="47"/>
      <c r="DB5" s="48"/>
      <c r="DC5" s="48"/>
      <c r="DD5" s="48"/>
      <c r="DE5" s="48"/>
      <c r="DF5" s="48"/>
      <c r="DG5" s="48"/>
      <c r="DH5" s="48"/>
      <c r="DI5" s="48"/>
      <c r="DJ5" s="48"/>
      <c r="DK5" s="49"/>
      <c r="DL5" s="47"/>
      <c r="DM5" s="48"/>
      <c r="DN5" s="48"/>
      <c r="DO5" s="48"/>
      <c r="DP5" s="49"/>
      <c r="DQ5" s="49"/>
      <c r="DR5" s="47"/>
      <c r="DS5" s="48"/>
      <c r="DT5" s="48"/>
      <c r="DU5" s="48"/>
      <c r="DV5" s="48"/>
      <c r="DW5" s="48"/>
      <c r="DX5" s="48"/>
      <c r="DY5" s="48"/>
      <c r="DZ5" s="48"/>
      <c r="EA5" s="48"/>
      <c r="EB5" s="49"/>
      <c r="EC5" s="47"/>
      <c r="ED5" s="48"/>
      <c r="EE5" s="48"/>
      <c r="EF5" s="48"/>
      <c r="EG5" s="49"/>
      <c r="EH5" s="49"/>
      <c r="EI5" s="47"/>
      <c r="EJ5" s="48"/>
      <c r="EK5" s="48"/>
      <c r="EL5" s="48"/>
      <c r="EM5" s="48"/>
      <c r="EN5" s="48"/>
      <c r="EO5" s="48"/>
      <c r="EP5" s="48"/>
      <c r="EQ5" s="48"/>
      <c r="ER5" s="48"/>
      <c r="ES5" s="49"/>
      <c r="ET5" s="47"/>
      <c r="EU5" s="48"/>
      <c r="EV5" s="48"/>
      <c r="EW5" s="48"/>
      <c r="EX5" s="49"/>
      <c r="EY5" s="49"/>
      <c r="EZ5" s="47"/>
      <c r="FA5" s="48"/>
      <c r="FB5" s="48"/>
      <c r="FC5" s="48"/>
      <c r="FD5" s="48"/>
      <c r="FE5" s="48"/>
      <c r="FF5" s="48"/>
      <c r="FG5" s="48"/>
      <c r="FH5" s="48"/>
      <c r="FI5" s="48"/>
      <c r="FJ5" s="49"/>
      <c r="FK5" s="47"/>
      <c r="FL5" s="48"/>
      <c r="FM5" s="48"/>
      <c r="FN5" s="48"/>
      <c r="FO5" s="49"/>
      <c r="FP5" s="49"/>
      <c r="FQ5" s="47"/>
      <c r="FR5" s="48"/>
      <c r="FS5" s="48"/>
      <c r="FT5" s="48"/>
      <c r="FU5" s="48"/>
      <c r="FV5" s="48"/>
      <c r="FW5" s="48"/>
      <c r="FX5" s="48"/>
      <c r="FY5" s="48"/>
      <c r="FZ5" s="48"/>
      <c r="GA5" s="49"/>
      <c r="GB5" s="47"/>
      <c r="GC5" s="48"/>
      <c r="GD5" s="48"/>
      <c r="GE5" s="48"/>
      <c r="GF5" s="49"/>
      <c r="GG5" s="49"/>
      <c r="GH5" s="47"/>
      <c r="GI5" s="48"/>
      <c r="GJ5" s="48"/>
      <c r="GK5" s="48"/>
      <c r="GL5" s="48"/>
      <c r="GM5" s="48"/>
      <c r="GN5" s="48"/>
      <c r="GO5" s="48"/>
      <c r="GP5" s="48"/>
      <c r="GQ5" s="48"/>
      <c r="GR5" s="49"/>
      <c r="GS5" s="47"/>
      <c r="GT5" s="48"/>
      <c r="GU5" s="48"/>
      <c r="GV5" s="48"/>
      <c r="GW5" s="49"/>
      <c r="GX5" s="49"/>
      <c r="GY5" s="47"/>
      <c r="GZ5" s="48"/>
      <c r="HA5" s="48"/>
      <c r="HB5" s="48"/>
      <c r="HC5" s="48"/>
      <c r="HD5" s="48"/>
      <c r="HE5" s="48"/>
      <c r="HF5" s="48"/>
      <c r="HG5" s="48"/>
      <c r="HH5" s="48"/>
      <c r="HI5" s="49"/>
      <c r="HJ5" s="47"/>
      <c r="HK5" s="48"/>
      <c r="HL5" s="48"/>
      <c r="HM5" s="48"/>
      <c r="HN5" s="49"/>
      <c r="HO5" s="49"/>
      <c r="HP5" s="47"/>
      <c r="HQ5" s="48"/>
      <c r="HR5" s="48"/>
      <c r="HS5" s="48"/>
      <c r="HT5" s="48"/>
      <c r="HU5" s="48"/>
      <c r="HV5" s="48"/>
      <c r="HW5" s="48"/>
      <c r="HX5" s="48"/>
      <c r="HY5" s="48"/>
      <c r="HZ5" s="49"/>
      <c r="IA5" s="47"/>
      <c r="IB5" s="48"/>
      <c r="IC5" s="48"/>
      <c r="ID5" s="48"/>
      <c r="IE5" s="49"/>
      <c r="IF5" s="49"/>
      <c r="IG5" s="47"/>
      <c r="IH5" s="48"/>
      <c r="II5" s="48"/>
      <c r="IJ5" s="48"/>
      <c r="IK5" s="48"/>
      <c r="IL5" s="48"/>
      <c r="IM5" s="48"/>
      <c r="IN5" s="48"/>
      <c r="IO5" s="48"/>
      <c r="IP5" s="48"/>
      <c r="IQ5" s="49"/>
      <c r="IR5" s="47"/>
      <c r="IS5" s="48"/>
      <c r="IT5" s="48"/>
      <c r="IU5" s="48"/>
      <c r="IV5" s="49"/>
      <c r="IW5" s="49"/>
    </row>
    <row r="6" spans="1:257" x14ac:dyDescent="0.3">
      <c r="A6">
        <v>1</v>
      </c>
      <c r="B6" s="34">
        <v>2022</v>
      </c>
      <c r="C6" s="47"/>
      <c r="D6" s="48"/>
      <c r="E6" s="48"/>
      <c r="F6" s="48"/>
      <c r="G6" s="48"/>
      <c r="H6" s="48"/>
      <c r="I6" s="48"/>
      <c r="J6" s="48"/>
      <c r="K6" s="48"/>
      <c r="L6" s="48"/>
      <c r="M6" s="49"/>
      <c r="N6" s="47"/>
      <c r="O6" s="48"/>
      <c r="P6" s="48"/>
      <c r="Q6" s="48"/>
      <c r="R6" s="49"/>
      <c r="S6" s="49"/>
      <c r="T6" s="47"/>
      <c r="U6" s="48"/>
      <c r="V6" s="48"/>
      <c r="W6" s="48"/>
      <c r="X6" s="48"/>
      <c r="Y6" s="48"/>
      <c r="Z6" s="48"/>
      <c r="AA6" s="48"/>
      <c r="AB6" s="48"/>
      <c r="AC6" s="48"/>
      <c r="AD6" s="49"/>
      <c r="AE6" s="47"/>
      <c r="AF6" s="48"/>
      <c r="AG6" s="48"/>
      <c r="AH6" s="48"/>
      <c r="AI6" s="49"/>
      <c r="AJ6" s="49"/>
      <c r="AK6" s="47"/>
      <c r="AL6" s="48"/>
      <c r="AM6" s="48"/>
      <c r="AN6" s="48"/>
      <c r="AO6" s="48"/>
      <c r="AP6" s="48"/>
      <c r="AQ6" s="48"/>
      <c r="AR6" s="48"/>
      <c r="AS6" s="48"/>
      <c r="AT6" s="48"/>
      <c r="AU6" s="49"/>
      <c r="AV6" s="47"/>
      <c r="AW6" s="48"/>
      <c r="AX6" s="48"/>
      <c r="AY6" s="48"/>
      <c r="AZ6" s="49"/>
      <c r="BA6" s="49"/>
      <c r="BB6" s="47"/>
      <c r="BC6" s="48"/>
      <c r="BD6" s="48"/>
      <c r="BE6" s="48"/>
      <c r="BF6" s="48"/>
      <c r="BG6" s="48"/>
      <c r="BH6" s="48"/>
      <c r="BI6" s="48"/>
      <c r="BJ6" s="48"/>
      <c r="BK6" s="48"/>
      <c r="BL6" s="49"/>
      <c r="BM6" s="47"/>
      <c r="BN6" s="48"/>
      <c r="BO6" s="48"/>
      <c r="BP6" s="48"/>
      <c r="BQ6" s="49"/>
      <c r="BR6" s="49"/>
      <c r="BS6" s="47"/>
      <c r="BT6" s="48"/>
      <c r="BU6" s="48"/>
      <c r="BV6" s="48"/>
      <c r="BW6" s="48"/>
      <c r="BX6" s="48"/>
      <c r="BY6" s="48"/>
      <c r="BZ6" s="48"/>
      <c r="CA6" s="48"/>
      <c r="CB6" s="48"/>
      <c r="CC6" s="49"/>
      <c r="CD6" s="47"/>
      <c r="CE6" s="48"/>
      <c r="CF6" s="48"/>
      <c r="CG6" s="48"/>
      <c r="CH6" s="49"/>
      <c r="CI6" s="49"/>
      <c r="CJ6" s="47"/>
      <c r="CK6" s="48"/>
      <c r="CL6" s="48"/>
      <c r="CM6" s="48"/>
      <c r="CN6" s="48"/>
      <c r="CO6" s="48"/>
      <c r="CP6" s="48"/>
      <c r="CQ6" s="48"/>
      <c r="CR6" s="48"/>
      <c r="CS6" s="48"/>
      <c r="CT6" s="49"/>
      <c r="CU6" s="47"/>
      <c r="CV6" s="48"/>
      <c r="CW6" s="48"/>
      <c r="CX6" s="48"/>
      <c r="CY6" s="49"/>
      <c r="CZ6" s="49"/>
      <c r="DA6" s="47"/>
      <c r="DB6" s="48"/>
      <c r="DC6" s="48"/>
      <c r="DD6" s="48"/>
      <c r="DE6" s="48"/>
      <c r="DF6" s="48"/>
      <c r="DG6" s="48"/>
      <c r="DH6" s="48"/>
      <c r="DI6" s="48"/>
      <c r="DJ6" s="48"/>
      <c r="DK6" s="49"/>
      <c r="DL6" s="47"/>
      <c r="DM6" s="48"/>
      <c r="DN6" s="48"/>
      <c r="DO6" s="48"/>
      <c r="DP6" s="49"/>
      <c r="DQ6" s="49"/>
      <c r="DR6" s="47"/>
      <c r="DS6" s="48"/>
      <c r="DT6" s="48"/>
      <c r="DU6" s="48"/>
      <c r="DV6" s="48"/>
      <c r="DW6" s="48"/>
      <c r="DX6" s="48"/>
      <c r="DY6" s="48"/>
      <c r="DZ6" s="48"/>
      <c r="EA6" s="48"/>
      <c r="EB6" s="49"/>
      <c r="EC6" s="47"/>
      <c r="ED6" s="48"/>
      <c r="EE6" s="48"/>
      <c r="EF6" s="48"/>
      <c r="EG6" s="49"/>
      <c r="EH6" s="49"/>
      <c r="EI6" s="47"/>
      <c r="EJ6" s="48"/>
      <c r="EK6" s="48"/>
      <c r="EL6" s="48"/>
      <c r="EM6" s="48"/>
      <c r="EN6" s="48"/>
      <c r="EO6" s="48"/>
      <c r="EP6" s="48"/>
      <c r="EQ6" s="48"/>
      <c r="ER6" s="48"/>
      <c r="ES6" s="49"/>
      <c r="ET6" s="47"/>
      <c r="EU6" s="48"/>
      <c r="EV6" s="48"/>
      <c r="EW6" s="48"/>
      <c r="EX6" s="49"/>
      <c r="EY6" s="49"/>
      <c r="EZ6" s="47"/>
      <c r="FA6" s="48"/>
      <c r="FB6" s="48"/>
      <c r="FC6" s="48"/>
      <c r="FD6" s="48"/>
      <c r="FE6" s="48"/>
      <c r="FF6" s="48"/>
      <c r="FG6" s="48"/>
      <c r="FH6" s="48"/>
      <c r="FI6" s="48"/>
      <c r="FJ6" s="49"/>
      <c r="FK6" s="47"/>
      <c r="FL6" s="48"/>
      <c r="FM6" s="48"/>
      <c r="FN6" s="48"/>
      <c r="FO6" s="49"/>
      <c r="FP6" s="49"/>
      <c r="FQ6" s="47"/>
      <c r="FR6" s="48"/>
      <c r="FS6" s="48"/>
      <c r="FT6" s="48"/>
      <c r="FU6" s="48"/>
      <c r="FV6" s="48"/>
      <c r="FW6" s="48"/>
      <c r="FX6" s="48"/>
      <c r="FY6" s="48"/>
      <c r="FZ6" s="48"/>
      <c r="GA6" s="49"/>
      <c r="GB6" s="47"/>
      <c r="GC6" s="48"/>
      <c r="GD6" s="48"/>
      <c r="GE6" s="48"/>
      <c r="GF6" s="49"/>
      <c r="GG6" s="49"/>
      <c r="GH6" s="47"/>
      <c r="GI6" s="48"/>
      <c r="GJ6" s="48"/>
      <c r="GK6" s="48"/>
      <c r="GL6" s="48"/>
      <c r="GM6" s="48"/>
      <c r="GN6" s="48"/>
      <c r="GO6" s="48"/>
      <c r="GP6" s="48"/>
      <c r="GQ6" s="48"/>
      <c r="GR6" s="49"/>
      <c r="GS6" s="47"/>
      <c r="GT6" s="48"/>
      <c r="GU6" s="48"/>
      <c r="GV6" s="48"/>
      <c r="GW6" s="49"/>
      <c r="GX6" s="49"/>
      <c r="GY6" s="47"/>
      <c r="GZ6" s="48"/>
      <c r="HA6" s="48"/>
      <c r="HB6" s="48"/>
      <c r="HC6" s="48"/>
      <c r="HD6" s="48"/>
      <c r="HE6" s="48"/>
      <c r="HF6" s="48"/>
      <c r="HG6" s="48"/>
      <c r="HH6" s="48"/>
      <c r="HI6" s="49"/>
      <c r="HJ6" s="47"/>
      <c r="HK6" s="48"/>
      <c r="HL6" s="48"/>
      <c r="HM6" s="48"/>
      <c r="HN6" s="49"/>
      <c r="HO6" s="49"/>
      <c r="HP6" s="47"/>
      <c r="HQ6" s="48"/>
      <c r="HR6" s="48"/>
      <c r="HS6" s="48"/>
      <c r="HT6" s="48"/>
      <c r="HU6" s="48"/>
      <c r="HV6" s="48"/>
      <c r="HW6" s="48"/>
      <c r="HX6" s="48"/>
      <c r="HY6" s="48"/>
      <c r="HZ6" s="49"/>
      <c r="IA6" s="47"/>
      <c r="IB6" s="48"/>
      <c r="IC6" s="48"/>
      <c r="ID6" s="48"/>
      <c r="IE6" s="49"/>
      <c r="IF6" s="49"/>
      <c r="IG6" s="47"/>
      <c r="IH6" s="48"/>
      <c r="II6" s="48"/>
      <c r="IJ6" s="48"/>
      <c r="IK6" s="48"/>
      <c r="IL6" s="48"/>
      <c r="IM6" s="48"/>
      <c r="IN6" s="48"/>
      <c r="IO6" s="48"/>
      <c r="IP6" s="48"/>
      <c r="IQ6" s="49"/>
      <c r="IR6" s="47"/>
      <c r="IS6" s="48"/>
      <c r="IT6" s="48"/>
      <c r="IU6" s="48"/>
      <c r="IV6" s="49"/>
      <c r="IW6" s="49"/>
    </row>
    <row r="7" spans="1:257" x14ac:dyDescent="0.3">
      <c r="A7">
        <v>2</v>
      </c>
      <c r="B7" s="34">
        <v>2023</v>
      </c>
      <c r="C7" s="50"/>
      <c r="D7" s="35"/>
      <c r="E7" s="35"/>
      <c r="F7" s="35"/>
      <c r="G7" s="35"/>
      <c r="H7" s="35"/>
      <c r="I7" s="35"/>
      <c r="J7" s="35"/>
      <c r="K7" s="35"/>
      <c r="L7" s="35"/>
      <c r="M7" s="7"/>
      <c r="N7" s="28"/>
      <c r="O7" s="29"/>
      <c r="P7" s="29"/>
      <c r="Q7" s="29"/>
      <c r="R7" s="51"/>
      <c r="S7" s="26"/>
      <c r="T7" s="50"/>
      <c r="U7" s="35"/>
      <c r="V7" s="35"/>
      <c r="W7" s="35"/>
      <c r="X7" s="35"/>
      <c r="Y7" s="35"/>
      <c r="Z7" s="35"/>
      <c r="AA7" s="35"/>
      <c r="AB7" s="35"/>
      <c r="AC7" s="35"/>
      <c r="AD7" s="7"/>
      <c r="AE7" s="28"/>
      <c r="AF7" s="29"/>
      <c r="AG7" s="29"/>
      <c r="AH7" s="29"/>
      <c r="AI7" s="51"/>
      <c r="AJ7" s="26"/>
      <c r="AK7" s="50"/>
      <c r="AL7" s="35"/>
      <c r="AM7" s="35"/>
      <c r="AN7" s="35"/>
      <c r="AO7" s="35"/>
      <c r="AP7" s="35"/>
      <c r="AQ7" s="35"/>
      <c r="AR7" s="35"/>
      <c r="AS7" s="35"/>
      <c r="AT7" s="35"/>
      <c r="AU7" s="7"/>
      <c r="AV7" s="28"/>
      <c r="AW7" s="29"/>
      <c r="AX7" s="29"/>
      <c r="AY7" s="29"/>
      <c r="AZ7" s="51"/>
      <c r="BA7" s="26"/>
      <c r="BB7" s="52"/>
      <c r="BC7" s="36"/>
      <c r="BD7" s="36"/>
      <c r="BE7" s="36"/>
      <c r="BF7" s="36"/>
      <c r="BG7" s="36"/>
      <c r="BH7" s="36"/>
      <c r="BI7" s="36"/>
      <c r="BJ7" s="36"/>
      <c r="BK7" s="36"/>
      <c r="BL7" s="37"/>
      <c r="BM7" s="28"/>
      <c r="BN7" s="29"/>
      <c r="BO7" s="29"/>
      <c r="BP7" s="29"/>
      <c r="BQ7" s="51"/>
      <c r="BR7" s="26"/>
      <c r="BS7" s="50"/>
      <c r="BT7" s="35"/>
      <c r="BU7" s="35"/>
      <c r="BV7" s="35"/>
      <c r="BW7" s="35"/>
      <c r="BX7" s="35"/>
      <c r="BY7" s="35"/>
      <c r="BZ7" s="35"/>
      <c r="CA7" s="35"/>
      <c r="CB7" s="35"/>
      <c r="CC7" s="7"/>
      <c r="CD7" s="28"/>
      <c r="CE7" s="29"/>
      <c r="CF7" s="29"/>
      <c r="CG7" s="29"/>
      <c r="CH7" s="51"/>
      <c r="CI7" s="26"/>
      <c r="CJ7" s="50"/>
      <c r="CK7" s="35"/>
      <c r="CL7" s="35"/>
      <c r="CM7" s="35"/>
      <c r="CN7" s="35"/>
      <c r="CO7" s="35"/>
      <c r="CP7" s="35"/>
      <c r="CQ7" s="35"/>
      <c r="CR7" s="35"/>
      <c r="CS7" s="35"/>
      <c r="CT7" s="7"/>
      <c r="CU7" s="28"/>
      <c r="CV7" s="29"/>
      <c r="CW7" s="29"/>
      <c r="CX7" s="29"/>
      <c r="CY7" s="51"/>
      <c r="CZ7" s="26"/>
      <c r="DA7" s="50"/>
      <c r="DB7" s="35"/>
      <c r="DC7" s="35"/>
      <c r="DD7" s="35"/>
      <c r="DE7" s="35"/>
      <c r="DF7" s="35"/>
      <c r="DG7" s="35"/>
      <c r="DH7" s="35"/>
      <c r="DI7" s="35"/>
      <c r="DJ7" s="35"/>
      <c r="DK7" s="7"/>
      <c r="DL7" s="28"/>
      <c r="DM7" s="29"/>
      <c r="DN7" s="29"/>
      <c r="DO7" s="29"/>
      <c r="DP7" s="51"/>
      <c r="DQ7" s="26"/>
      <c r="DR7" s="50"/>
      <c r="DS7" s="35"/>
      <c r="DT7" s="35"/>
      <c r="DU7" s="35"/>
      <c r="DV7" s="35"/>
      <c r="DW7" s="35"/>
      <c r="DX7" s="35"/>
      <c r="DY7" s="35"/>
      <c r="DZ7" s="35"/>
      <c r="EA7" s="35"/>
      <c r="EB7" s="7"/>
      <c r="EC7" s="28"/>
      <c r="ED7" s="29"/>
      <c r="EE7" s="29"/>
      <c r="EF7" s="29"/>
      <c r="EG7" s="51"/>
      <c r="EH7" s="26"/>
      <c r="EI7" s="50"/>
      <c r="EJ7" s="35"/>
      <c r="EK7" s="35"/>
      <c r="EL7" s="35"/>
      <c r="EM7" s="35"/>
      <c r="EN7" s="35"/>
      <c r="EO7" s="35"/>
      <c r="EP7" s="35"/>
      <c r="EQ7" s="35"/>
      <c r="ER7" s="35"/>
      <c r="ES7" s="7"/>
      <c r="ET7" s="28"/>
      <c r="EU7" s="29"/>
      <c r="EV7" s="29"/>
      <c r="EW7" s="29"/>
      <c r="EX7" s="51"/>
      <c r="EY7" s="26"/>
      <c r="EZ7" s="50"/>
      <c r="FA7" s="35"/>
      <c r="FB7" s="35"/>
      <c r="FC7" s="35"/>
      <c r="FD7" s="35"/>
      <c r="FE7" s="35"/>
      <c r="FF7" s="35"/>
      <c r="FG7" s="35"/>
      <c r="FH7" s="35"/>
      <c r="FI7" s="35"/>
      <c r="FJ7" s="7"/>
      <c r="FK7" s="28"/>
      <c r="FL7" s="29"/>
      <c r="FM7" s="29"/>
      <c r="FN7" s="29"/>
      <c r="FO7" s="51"/>
      <c r="FP7" s="26"/>
      <c r="FQ7" s="50"/>
      <c r="FR7" s="35"/>
      <c r="FS7" s="35"/>
      <c r="FT7" s="35"/>
      <c r="FU7" s="35"/>
      <c r="FV7" s="35"/>
      <c r="FW7" s="35"/>
      <c r="FX7" s="35"/>
      <c r="FY7" s="35"/>
      <c r="FZ7" s="35"/>
      <c r="GA7" s="7"/>
      <c r="GB7" s="28"/>
      <c r="GC7" s="29"/>
      <c r="GD7" s="29"/>
      <c r="GE7" s="29"/>
      <c r="GF7" s="51"/>
      <c r="GG7" s="26"/>
      <c r="GH7" s="50"/>
      <c r="GI7" s="35"/>
      <c r="GJ7" s="35"/>
      <c r="GK7" s="35"/>
      <c r="GL7" s="35"/>
      <c r="GM7" s="35"/>
      <c r="GN7" s="35"/>
      <c r="GO7" s="35"/>
      <c r="GP7" s="35"/>
      <c r="GQ7" s="35"/>
      <c r="GR7" s="7"/>
      <c r="GS7" s="28"/>
      <c r="GT7" s="29"/>
      <c r="GU7" s="29"/>
      <c r="GV7" s="29"/>
      <c r="GW7" s="51"/>
      <c r="GX7" s="26"/>
      <c r="GY7" s="50"/>
      <c r="GZ7" s="35"/>
      <c r="HA7" s="35"/>
      <c r="HB7" s="35"/>
      <c r="HC7" s="35"/>
      <c r="HD7" s="35"/>
      <c r="HE7" s="35"/>
      <c r="HF7" s="35"/>
      <c r="HG7" s="35"/>
      <c r="HH7" s="35"/>
      <c r="HI7" s="7"/>
      <c r="HJ7" s="28"/>
      <c r="HK7" s="29"/>
      <c r="HL7" s="29"/>
      <c r="HM7" s="29"/>
      <c r="HN7" s="51"/>
      <c r="HO7" s="26"/>
      <c r="HP7" s="50"/>
      <c r="HQ7" s="35"/>
      <c r="HR7" s="35"/>
      <c r="HS7" s="35"/>
      <c r="HT7" s="35"/>
      <c r="HU7" s="35"/>
      <c r="HV7" s="35"/>
      <c r="HW7" s="35"/>
      <c r="HX7" s="35"/>
      <c r="HY7" s="35"/>
      <c r="HZ7" s="7"/>
      <c r="IA7" s="28"/>
      <c r="IB7" s="29"/>
      <c r="IC7" s="29"/>
      <c r="ID7" s="29"/>
      <c r="IE7" s="51"/>
      <c r="IF7" s="26"/>
      <c r="IG7" s="50"/>
      <c r="IH7" s="35"/>
      <c r="II7" s="35"/>
      <c r="IJ7" s="35"/>
      <c r="IK7" s="35"/>
      <c r="IL7" s="35"/>
      <c r="IM7" s="35"/>
      <c r="IN7" s="35"/>
      <c r="IO7" s="35"/>
      <c r="IP7" s="35"/>
      <c r="IQ7" s="7"/>
      <c r="IR7" s="28"/>
      <c r="IS7" s="29"/>
      <c r="IT7" s="29"/>
      <c r="IU7" s="29"/>
      <c r="IV7" s="51"/>
      <c r="IW7" s="26"/>
    </row>
    <row r="8" spans="1:257" x14ac:dyDescent="0.3">
      <c r="A8">
        <v>3</v>
      </c>
      <c r="B8" s="34">
        <v>2024</v>
      </c>
      <c r="C8" s="50"/>
      <c r="D8" s="35"/>
      <c r="E8" s="35"/>
      <c r="F8" s="35"/>
      <c r="G8" s="35"/>
      <c r="H8" s="35"/>
      <c r="I8" s="35"/>
      <c r="J8" s="35"/>
      <c r="K8" s="35"/>
      <c r="L8" s="35"/>
      <c r="M8" s="7"/>
      <c r="N8" s="28"/>
      <c r="O8" s="29"/>
      <c r="P8" s="29"/>
      <c r="Q8" s="29"/>
      <c r="R8" s="51"/>
      <c r="S8" s="26"/>
      <c r="T8" s="50"/>
      <c r="U8" s="35"/>
      <c r="V8" s="35"/>
      <c r="W8" s="35"/>
      <c r="X8" s="35"/>
      <c r="Y8" s="35"/>
      <c r="Z8" s="35"/>
      <c r="AA8" s="35"/>
      <c r="AB8" s="35"/>
      <c r="AC8" s="35"/>
      <c r="AD8" s="7"/>
      <c r="AE8" s="28"/>
      <c r="AF8" s="29"/>
      <c r="AG8" s="29"/>
      <c r="AH8" s="29"/>
      <c r="AI8" s="51"/>
      <c r="AJ8" s="26"/>
      <c r="AK8" s="50"/>
      <c r="AL8" s="35"/>
      <c r="AM8" s="35"/>
      <c r="AN8" s="35"/>
      <c r="AO8" s="35"/>
      <c r="AP8" s="35"/>
      <c r="AQ8" s="35"/>
      <c r="AR8" s="35"/>
      <c r="AS8" s="35"/>
      <c r="AT8" s="35"/>
      <c r="AU8" s="7"/>
      <c r="AV8" s="28"/>
      <c r="AW8" s="29"/>
      <c r="AX8" s="29"/>
      <c r="AY8" s="29"/>
      <c r="AZ8" s="51"/>
      <c r="BA8" s="26"/>
      <c r="BB8" s="52"/>
      <c r="BC8" s="36"/>
      <c r="BD8" s="36"/>
      <c r="BE8" s="36"/>
      <c r="BF8" s="36"/>
      <c r="BG8" s="36"/>
      <c r="BH8" s="36"/>
      <c r="BI8" s="36"/>
      <c r="BJ8" s="36"/>
      <c r="BK8" s="36"/>
      <c r="BL8" s="37"/>
      <c r="BM8" s="28"/>
      <c r="BN8" s="29"/>
      <c r="BO8" s="29"/>
      <c r="BP8" s="29"/>
      <c r="BQ8" s="51"/>
      <c r="BR8" s="26"/>
      <c r="BS8" s="50"/>
      <c r="BT8" s="35"/>
      <c r="BU8" s="35"/>
      <c r="BV8" s="35"/>
      <c r="BW8" s="35"/>
      <c r="BX8" s="35"/>
      <c r="BY8" s="35"/>
      <c r="BZ8" s="35"/>
      <c r="CA8" s="35"/>
      <c r="CB8" s="35"/>
      <c r="CC8" s="7"/>
      <c r="CD8" s="28"/>
      <c r="CE8" s="29"/>
      <c r="CF8" s="29"/>
      <c r="CG8" s="29"/>
      <c r="CH8" s="51"/>
      <c r="CI8" s="26"/>
      <c r="CJ8" s="50"/>
      <c r="CK8" s="35"/>
      <c r="CL8" s="35"/>
      <c r="CM8" s="35"/>
      <c r="CN8" s="35"/>
      <c r="CO8" s="35"/>
      <c r="CP8" s="35"/>
      <c r="CQ8" s="35"/>
      <c r="CR8" s="35"/>
      <c r="CS8" s="35"/>
      <c r="CT8" s="7"/>
      <c r="CU8" s="28"/>
      <c r="CV8" s="29"/>
      <c r="CW8" s="29"/>
      <c r="CX8" s="29"/>
      <c r="CY8" s="51"/>
      <c r="CZ8" s="26"/>
      <c r="DA8" s="50"/>
      <c r="DB8" s="35"/>
      <c r="DC8" s="35"/>
      <c r="DD8" s="35"/>
      <c r="DE8" s="35"/>
      <c r="DF8" s="35"/>
      <c r="DG8" s="35"/>
      <c r="DH8" s="35"/>
      <c r="DI8" s="35"/>
      <c r="DJ8" s="35"/>
      <c r="DK8" s="7"/>
      <c r="DL8" s="28"/>
      <c r="DM8" s="29"/>
      <c r="DN8" s="29"/>
      <c r="DO8" s="29"/>
      <c r="DP8" s="51"/>
      <c r="DQ8" s="26"/>
      <c r="DR8" s="50"/>
      <c r="DS8" s="35"/>
      <c r="DT8" s="35"/>
      <c r="DU8" s="35"/>
      <c r="DV8" s="35"/>
      <c r="DW8" s="35"/>
      <c r="DX8" s="35"/>
      <c r="DY8" s="35"/>
      <c r="DZ8" s="35"/>
      <c r="EA8" s="35"/>
      <c r="EB8" s="7"/>
      <c r="EC8" s="28"/>
      <c r="ED8" s="29"/>
      <c r="EE8" s="29"/>
      <c r="EF8" s="29"/>
      <c r="EG8" s="51"/>
      <c r="EH8" s="26"/>
      <c r="EI8" s="50"/>
      <c r="EJ8" s="35"/>
      <c r="EK8" s="35"/>
      <c r="EL8" s="35"/>
      <c r="EM8" s="35"/>
      <c r="EN8" s="35"/>
      <c r="EO8" s="35"/>
      <c r="EP8" s="35"/>
      <c r="EQ8" s="35"/>
      <c r="ER8" s="35"/>
      <c r="ES8" s="7"/>
      <c r="ET8" s="28"/>
      <c r="EU8" s="29"/>
      <c r="EV8" s="29"/>
      <c r="EW8" s="29"/>
      <c r="EX8" s="51"/>
      <c r="EY8" s="26"/>
      <c r="EZ8" s="50"/>
      <c r="FA8" s="35"/>
      <c r="FB8" s="35"/>
      <c r="FC8" s="35"/>
      <c r="FD8" s="35"/>
      <c r="FE8" s="35"/>
      <c r="FF8" s="35"/>
      <c r="FG8" s="35"/>
      <c r="FH8" s="35"/>
      <c r="FI8" s="35"/>
      <c r="FJ8" s="7"/>
      <c r="FK8" s="28"/>
      <c r="FL8" s="29"/>
      <c r="FM8" s="29"/>
      <c r="FN8" s="29"/>
      <c r="FO8" s="51"/>
      <c r="FP8" s="26"/>
      <c r="FQ8" s="50"/>
      <c r="FR8" s="35"/>
      <c r="FS8" s="35"/>
      <c r="FT8" s="35"/>
      <c r="FU8" s="35"/>
      <c r="FV8" s="35"/>
      <c r="FW8" s="35"/>
      <c r="FX8" s="35"/>
      <c r="FY8" s="35"/>
      <c r="FZ8" s="35"/>
      <c r="GA8" s="7"/>
      <c r="GB8" s="28"/>
      <c r="GC8" s="29"/>
      <c r="GD8" s="29"/>
      <c r="GE8" s="29"/>
      <c r="GF8" s="51"/>
      <c r="GG8" s="26"/>
      <c r="GH8" s="50"/>
      <c r="GI8" s="35"/>
      <c r="GJ8" s="35"/>
      <c r="GK8" s="35"/>
      <c r="GL8" s="35"/>
      <c r="GM8" s="35"/>
      <c r="GN8" s="35"/>
      <c r="GO8" s="35"/>
      <c r="GP8" s="35"/>
      <c r="GQ8" s="35"/>
      <c r="GR8" s="7"/>
      <c r="GS8" s="28"/>
      <c r="GT8" s="29"/>
      <c r="GU8" s="29"/>
      <c r="GV8" s="29"/>
      <c r="GW8" s="51"/>
      <c r="GX8" s="26"/>
      <c r="GY8" s="50"/>
      <c r="GZ8" s="35"/>
      <c r="HA8" s="35"/>
      <c r="HB8" s="35"/>
      <c r="HC8" s="35"/>
      <c r="HD8" s="35"/>
      <c r="HE8" s="35"/>
      <c r="HF8" s="35"/>
      <c r="HG8" s="35"/>
      <c r="HH8" s="35"/>
      <c r="HI8" s="7"/>
      <c r="HJ8" s="28"/>
      <c r="HK8" s="29"/>
      <c r="HL8" s="29"/>
      <c r="HM8" s="29"/>
      <c r="HN8" s="51"/>
      <c r="HO8" s="26"/>
      <c r="HP8" s="50"/>
      <c r="HQ8" s="35"/>
      <c r="HR8" s="35"/>
      <c r="HS8" s="35"/>
      <c r="HT8" s="35"/>
      <c r="HU8" s="35"/>
      <c r="HV8" s="35"/>
      <c r="HW8" s="35"/>
      <c r="HX8" s="35"/>
      <c r="HY8" s="35"/>
      <c r="HZ8" s="7"/>
      <c r="IA8" s="28"/>
      <c r="IB8" s="29"/>
      <c r="IC8" s="29"/>
      <c r="ID8" s="29"/>
      <c r="IE8" s="51"/>
      <c r="IF8" s="26"/>
      <c r="IG8" s="50"/>
      <c r="IH8" s="35"/>
      <c r="II8" s="35"/>
      <c r="IJ8" s="35"/>
      <c r="IK8" s="35"/>
      <c r="IL8" s="35"/>
      <c r="IM8" s="35"/>
      <c r="IN8" s="35"/>
      <c r="IO8" s="35"/>
      <c r="IP8" s="35"/>
      <c r="IQ8" s="7"/>
      <c r="IR8" s="28"/>
      <c r="IS8" s="29"/>
      <c r="IT8" s="29"/>
      <c r="IU8" s="29"/>
      <c r="IV8" s="51"/>
      <c r="IW8" s="26"/>
    </row>
    <row r="9" spans="1:257" x14ac:dyDescent="0.3">
      <c r="A9">
        <v>4</v>
      </c>
      <c r="B9" s="34">
        <v>2025</v>
      </c>
      <c r="C9" s="50"/>
      <c r="D9" s="35"/>
      <c r="E9" s="35"/>
      <c r="F9" s="35"/>
      <c r="G9" s="35"/>
      <c r="H9" s="35"/>
      <c r="I9" s="35"/>
      <c r="J9" s="35"/>
      <c r="K9" s="35"/>
      <c r="L9" s="35"/>
      <c r="M9" s="7"/>
      <c r="N9" s="28"/>
      <c r="O9" s="29"/>
      <c r="P9" s="29"/>
      <c r="Q9" s="29"/>
      <c r="R9" s="51"/>
      <c r="S9" s="26"/>
      <c r="T9" s="50"/>
      <c r="U9" s="35"/>
      <c r="V9" s="35"/>
      <c r="W9" s="35"/>
      <c r="X9" s="35"/>
      <c r="Y9" s="35"/>
      <c r="Z9" s="35"/>
      <c r="AA9" s="35"/>
      <c r="AB9" s="35"/>
      <c r="AC9" s="35"/>
      <c r="AD9" s="7"/>
      <c r="AE9" s="28"/>
      <c r="AF9" s="29"/>
      <c r="AG9" s="29"/>
      <c r="AH9" s="29"/>
      <c r="AI9" s="51"/>
      <c r="AJ9" s="26"/>
      <c r="AK9" s="50"/>
      <c r="AL9" s="35"/>
      <c r="AM9" s="35"/>
      <c r="AN9" s="35"/>
      <c r="AO9" s="35"/>
      <c r="AP9" s="35"/>
      <c r="AQ9" s="35"/>
      <c r="AR9" s="35"/>
      <c r="AS9" s="35"/>
      <c r="AT9" s="35"/>
      <c r="AU9" s="7"/>
      <c r="AV9" s="28"/>
      <c r="AW9" s="29"/>
      <c r="AX9" s="29"/>
      <c r="AY9" s="29"/>
      <c r="AZ9" s="51"/>
      <c r="BA9" s="26"/>
      <c r="BB9" s="52"/>
      <c r="BC9" s="36"/>
      <c r="BD9" s="36"/>
      <c r="BE9" s="36"/>
      <c r="BF9" s="36"/>
      <c r="BG9" s="36"/>
      <c r="BH9" s="36"/>
      <c r="BI9" s="36"/>
      <c r="BJ9" s="36"/>
      <c r="BK9" s="36"/>
      <c r="BL9" s="37"/>
      <c r="BM9" s="28"/>
      <c r="BN9" s="29"/>
      <c r="BO9" s="29"/>
      <c r="BP9" s="29"/>
      <c r="BQ9" s="51"/>
      <c r="BR9" s="26"/>
      <c r="BS9" s="50"/>
      <c r="BT9" s="35"/>
      <c r="BU9" s="35"/>
      <c r="BV9" s="35"/>
      <c r="BW9" s="35"/>
      <c r="BX9" s="35"/>
      <c r="BY9" s="35"/>
      <c r="BZ9" s="35"/>
      <c r="CA9" s="35"/>
      <c r="CB9" s="35"/>
      <c r="CC9" s="7"/>
      <c r="CD9" s="28"/>
      <c r="CE9" s="29"/>
      <c r="CF9" s="29"/>
      <c r="CG9" s="29"/>
      <c r="CH9" s="51"/>
      <c r="CI9" s="26"/>
      <c r="CJ9" s="50"/>
      <c r="CK9" s="35"/>
      <c r="CL9" s="35"/>
      <c r="CM9" s="35"/>
      <c r="CN9" s="35"/>
      <c r="CO9" s="35"/>
      <c r="CP9" s="35"/>
      <c r="CQ9" s="35"/>
      <c r="CR9" s="35"/>
      <c r="CS9" s="35"/>
      <c r="CT9" s="7"/>
      <c r="CU9" s="28"/>
      <c r="CV9" s="29"/>
      <c r="CW9" s="29"/>
      <c r="CX9" s="29"/>
      <c r="CY9" s="51"/>
      <c r="CZ9" s="26"/>
      <c r="DA9" s="50"/>
      <c r="DB9" s="35"/>
      <c r="DC9" s="35"/>
      <c r="DD9" s="35"/>
      <c r="DE9" s="35"/>
      <c r="DF9" s="35"/>
      <c r="DG9" s="35"/>
      <c r="DH9" s="35"/>
      <c r="DI9" s="35"/>
      <c r="DJ9" s="35"/>
      <c r="DK9" s="7"/>
      <c r="DL9" s="28"/>
      <c r="DM9" s="29"/>
      <c r="DN9" s="29"/>
      <c r="DO9" s="29"/>
      <c r="DP9" s="51"/>
      <c r="DQ9" s="26"/>
      <c r="DR9" s="50"/>
      <c r="DS9" s="35"/>
      <c r="DT9" s="35"/>
      <c r="DU9" s="35"/>
      <c r="DV9" s="35"/>
      <c r="DW9" s="35"/>
      <c r="DX9" s="35"/>
      <c r="DY9" s="35"/>
      <c r="DZ9" s="35"/>
      <c r="EA9" s="35"/>
      <c r="EB9" s="7"/>
      <c r="EC9" s="28"/>
      <c r="ED9" s="29"/>
      <c r="EE9" s="29"/>
      <c r="EF9" s="29"/>
      <c r="EG9" s="51"/>
      <c r="EH9" s="26"/>
      <c r="EI9" s="50"/>
      <c r="EJ9" s="35"/>
      <c r="EK9" s="35"/>
      <c r="EL9" s="35"/>
      <c r="EM9" s="35"/>
      <c r="EN9" s="35"/>
      <c r="EO9" s="35"/>
      <c r="EP9" s="35"/>
      <c r="EQ9" s="35"/>
      <c r="ER9" s="35"/>
      <c r="ES9" s="7"/>
      <c r="ET9" s="28"/>
      <c r="EU9" s="29"/>
      <c r="EV9" s="29"/>
      <c r="EW9" s="29"/>
      <c r="EX9" s="51"/>
      <c r="EY9" s="26"/>
      <c r="EZ9" s="50"/>
      <c r="FA9" s="35"/>
      <c r="FB9" s="35"/>
      <c r="FC9" s="35"/>
      <c r="FD9" s="35"/>
      <c r="FE9" s="35"/>
      <c r="FF9" s="35"/>
      <c r="FG9" s="35"/>
      <c r="FH9" s="35"/>
      <c r="FI9" s="35"/>
      <c r="FJ9" s="7"/>
      <c r="FK9" s="28"/>
      <c r="FL9" s="29"/>
      <c r="FM9" s="29"/>
      <c r="FN9" s="29"/>
      <c r="FO9" s="51"/>
      <c r="FP9" s="26"/>
      <c r="FQ9" s="50"/>
      <c r="FR9" s="35"/>
      <c r="FS9" s="35"/>
      <c r="FT9" s="35"/>
      <c r="FU9" s="35"/>
      <c r="FV9" s="35"/>
      <c r="FW9" s="35"/>
      <c r="FX9" s="35"/>
      <c r="FY9" s="35"/>
      <c r="FZ9" s="35"/>
      <c r="GA9" s="7"/>
      <c r="GB9" s="28"/>
      <c r="GC9" s="29"/>
      <c r="GD9" s="29"/>
      <c r="GE9" s="29"/>
      <c r="GF9" s="51"/>
      <c r="GG9" s="26"/>
      <c r="GH9" s="50"/>
      <c r="GI9" s="35"/>
      <c r="GJ9" s="35"/>
      <c r="GK9" s="35"/>
      <c r="GL9" s="35"/>
      <c r="GM9" s="35"/>
      <c r="GN9" s="35"/>
      <c r="GO9" s="35"/>
      <c r="GP9" s="35"/>
      <c r="GQ9" s="35"/>
      <c r="GR9" s="7"/>
      <c r="GS9" s="28"/>
      <c r="GT9" s="29"/>
      <c r="GU9" s="29"/>
      <c r="GV9" s="29"/>
      <c r="GW9" s="51"/>
      <c r="GX9" s="26"/>
      <c r="GY9" s="50"/>
      <c r="GZ9" s="35"/>
      <c r="HA9" s="35"/>
      <c r="HB9" s="35"/>
      <c r="HC9" s="35"/>
      <c r="HD9" s="35"/>
      <c r="HE9" s="35"/>
      <c r="HF9" s="35"/>
      <c r="HG9" s="35"/>
      <c r="HH9" s="35"/>
      <c r="HI9" s="7"/>
      <c r="HJ9" s="28"/>
      <c r="HK9" s="29"/>
      <c r="HL9" s="29"/>
      <c r="HM9" s="29"/>
      <c r="HN9" s="51"/>
      <c r="HO9" s="26"/>
      <c r="HP9" s="50"/>
      <c r="HQ9" s="35"/>
      <c r="HR9" s="35"/>
      <c r="HS9" s="35"/>
      <c r="HT9" s="35"/>
      <c r="HU9" s="35"/>
      <c r="HV9" s="35"/>
      <c r="HW9" s="35"/>
      <c r="HX9" s="35"/>
      <c r="HY9" s="35"/>
      <c r="HZ9" s="7"/>
      <c r="IA9" s="28"/>
      <c r="IB9" s="29"/>
      <c r="IC9" s="29"/>
      <c r="ID9" s="29"/>
      <c r="IE9" s="51"/>
      <c r="IF9" s="26"/>
      <c r="IG9" s="50"/>
      <c r="IH9" s="35"/>
      <c r="II9" s="35"/>
      <c r="IJ9" s="35"/>
      <c r="IK9" s="35"/>
      <c r="IL9" s="35"/>
      <c r="IM9" s="35"/>
      <c r="IN9" s="35"/>
      <c r="IO9" s="35"/>
      <c r="IP9" s="35"/>
      <c r="IQ9" s="7"/>
      <c r="IR9" s="28"/>
      <c r="IS9" s="29"/>
      <c r="IT9" s="29"/>
      <c r="IU9" s="29"/>
      <c r="IV9" s="51"/>
      <c r="IW9" s="26"/>
    </row>
    <row r="10" spans="1:257" x14ac:dyDescent="0.3">
      <c r="A10">
        <v>5</v>
      </c>
      <c r="B10" s="34">
        <v>2026</v>
      </c>
      <c r="C10" s="50"/>
      <c r="D10" s="35"/>
      <c r="E10" s="35"/>
      <c r="F10" s="35"/>
      <c r="G10" s="35"/>
      <c r="H10" s="35"/>
      <c r="I10" s="35"/>
      <c r="J10" s="35"/>
      <c r="K10" s="35"/>
      <c r="L10" s="35"/>
      <c r="M10" s="7"/>
      <c r="N10" s="28"/>
      <c r="O10" s="29"/>
      <c r="P10" s="29"/>
      <c r="Q10" s="29"/>
      <c r="R10" s="51"/>
      <c r="S10" s="26"/>
      <c r="T10" s="50"/>
      <c r="U10" s="35"/>
      <c r="V10" s="35"/>
      <c r="W10" s="35"/>
      <c r="X10" s="35"/>
      <c r="Y10" s="35"/>
      <c r="Z10" s="35"/>
      <c r="AA10" s="35"/>
      <c r="AB10" s="35"/>
      <c r="AC10" s="35"/>
      <c r="AD10" s="7"/>
      <c r="AE10" s="28"/>
      <c r="AF10" s="29"/>
      <c r="AG10" s="29"/>
      <c r="AH10" s="29"/>
      <c r="AI10" s="51"/>
      <c r="AJ10" s="26"/>
      <c r="AK10" s="50"/>
      <c r="AL10" s="35"/>
      <c r="AM10" s="35"/>
      <c r="AN10" s="35"/>
      <c r="AO10" s="35"/>
      <c r="AP10" s="35"/>
      <c r="AQ10" s="35"/>
      <c r="AR10" s="35"/>
      <c r="AS10" s="35"/>
      <c r="AT10" s="35"/>
      <c r="AU10" s="7"/>
      <c r="AV10" s="28"/>
      <c r="AW10" s="29"/>
      <c r="AX10" s="29"/>
      <c r="AY10" s="29"/>
      <c r="AZ10" s="51"/>
      <c r="BA10" s="26"/>
      <c r="BB10" s="52"/>
      <c r="BC10" s="36"/>
      <c r="BD10" s="36"/>
      <c r="BE10" s="36"/>
      <c r="BF10" s="36"/>
      <c r="BG10" s="36"/>
      <c r="BH10" s="36"/>
      <c r="BI10" s="36"/>
      <c r="BJ10" s="36"/>
      <c r="BK10" s="36"/>
      <c r="BL10" s="37"/>
      <c r="BM10" s="28"/>
      <c r="BN10" s="29"/>
      <c r="BO10" s="29"/>
      <c r="BP10" s="29"/>
      <c r="BQ10" s="51"/>
      <c r="BR10" s="26"/>
      <c r="BS10" s="50"/>
      <c r="BT10" s="35"/>
      <c r="BU10" s="35"/>
      <c r="BV10" s="35"/>
      <c r="BW10" s="35"/>
      <c r="BX10" s="35"/>
      <c r="BY10" s="35"/>
      <c r="BZ10" s="35"/>
      <c r="CA10" s="35"/>
      <c r="CB10" s="35"/>
      <c r="CC10" s="7"/>
      <c r="CD10" s="28"/>
      <c r="CE10" s="29"/>
      <c r="CF10" s="29"/>
      <c r="CG10" s="29"/>
      <c r="CH10" s="51"/>
      <c r="CI10" s="26"/>
      <c r="CJ10" s="50"/>
      <c r="CK10" s="35"/>
      <c r="CL10" s="35"/>
      <c r="CM10" s="35"/>
      <c r="CN10" s="35"/>
      <c r="CO10" s="35"/>
      <c r="CP10" s="35"/>
      <c r="CQ10" s="35"/>
      <c r="CR10" s="35"/>
      <c r="CS10" s="35"/>
      <c r="CT10" s="7"/>
      <c r="CU10" s="28"/>
      <c r="CV10" s="29"/>
      <c r="CW10" s="29"/>
      <c r="CX10" s="29"/>
      <c r="CY10" s="51"/>
      <c r="CZ10" s="26"/>
      <c r="DA10" s="50"/>
      <c r="DB10" s="35"/>
      <c r="DC10" s="35"/>
      <c r="DD10" s="35"/>
      <c r="DE10" s="35"/>
      <c r="DF10" s="35"/>
      <c r="DG10" s="35"/>
      <c r="DH10" s="35"/>
      <c r="DI10" s="35"/>
      <c r="DJ10" s="35"/>
      <c r="DK10" s="7"/>
      <c r="DL10" s="28"/>
      <c r="DM10" s="29"/>
      <c r="DN10" s="29"/>
      <c r="DO10" s="29"/>
      <c r="DP10" s="51"/>
      <c r="DQ10" s="26"/>
      <c r="DR10" s="50"/>
      <c r="DS10" s="35"/>
      <c r="DT10" s="35"/>
      <c r="DU10" s="35"/>
      <c r="DV10" s="35"/>
      <c r="DW10" s="35"/>
      <c r="DX10" s="35"/>
      <c r="DY10" s="35"/>
      <c r="DZ10" s="35"/>
      <c r="EA10" s="35"/>
      <c r="EB10" s="7"/>
      <c r="EC10" s="28"/>
      <c r="ED10" s="29"/>
      <c r="EE10" s="29"/>
      <c r="EF10" s="29"/>
      <c r="EG10" s="51"/>
      <c r="EH10" s="26"/>
      <c r="EI10" s="50"/>
      <c r="EJ10" s="35"/>
      <c r="EK10" s="35"/>
      <c r="EL10" s="35"/>
      <c r="EM10" s="35"/>
      <c r="EN10" s="35"/>
      <c r="EO10" s="35"/>
      <c r="EP10" s="35"/>
      <c r="EQ10" s="35"/>
      <c r="ER10" s="35"/>
      <c r="ES10" s="7"/>
      <c r="ET10" s="28"/>
      <c r="EU10" s="29"/>
      <c r="EV10" s="29"/>
      <c r="EW10" s="29"/>
      <c r="EX10" s="51"/>
      <c r="EY10" s="26"/>
      <c r="EZ10" s="50"/>
      <c r="FA10" s="35"/>
      <c r="FB10" s="35"/>
      <c r="FC10" s="35"/>
      <c r="FD10" s="35"/>
      <c r="FE10" s="35"/>
      <c r="FF10" s="35"/>
      <c r="FG10" s="35"/>
      <c r="FH10" s="35"/>
      <c r="FI10" s="35"/>
      <c r="FJ10" s="7"/>
      <c r="FK10" s="28"/>
      <c r="FL10" s="29"/>
      <c r="FM10" s="29"/>
      <c r="FN10" s="29"/>
      <c r="FO10" s="51"/>
      <c r="FP10" s="26"/>
      <c r="FQ10" s="50"/>
      <c r="FR10" s="35"/>
      <c r="FS10" s="35"/>
      <c r="FT10" s="35"/>
      <c r="FU10" s="35"/>
      <c r="FV10" s="35"/>
      <c r="FW10" s="35"/>
      <c r="FX10" s="35"/>
      <c r="FY10" s="35"/>
      <c r="FZ10" s="35"/>
      <c r="GA10" s="7"/>
      <c r="GB10" s="28"/>
      <c r="GC10" s="29"/>
      <c r="GD10" s="29"/>
      <c r="GE10" s="29"/>
      <c r="GF10" s="51"/>
      <c r="GG10" s="26"/>
      <c r="GH10" s="50"/>
      <c r="GI10" s="35"/>
      <c r="GJ10" s="35"/>
      <c r="GK10" s="35"/>
      <c r="GL10" s="35"/>
      <c r="GM10" s="35"/>
      <c r="GN10" s="35"/>
      <c r="GO10" s="35"/>
      <c r="GP10" s="35"/>
      <c r="GQ10" s="35"/>
      <c r="GR10" s="7"/>
      <c r="GS10" s="28"/>
      <c r="GT10" s="29"/>
      <c r="GU10" s="29"/>
      <c r="GV10" s="29"/>
      <c r="GW10" s="51"/>
      <c r="GX10" s="26"/>
      <c r="GY10" s="50"/>
      <c r="GZ10" s="35"/>
      <c r="HA10" s="35"/>
      <c r="HB10" s="35"/>
      <c r="HC10" s="35"/>
      <c r="HD10" s="35"/>
      <c r="HE10" s="35"/>
      <c r="HF10" s="35"/>
      <c r="HG10" s="35"/>
      <c r="HH10" s="35"/>
      <c r="HI10" s="7"/>
      <c r="HJ10" s="28"/>
      <c r="HK10" s="29"/>
      <c r="HL10" s="29"/>
      <c r="HM10" s="29"/>
      <c r="HN10" s="51"/>
      <c r="HO10" s="26"/>
      <c r="HP10" s="50"/>
      <c r="HQ10" s="35"/>
      <c r="HR10" s="35"/>
      <c r="HS10" s="35"/>
      <c r="HT10" s="35"/>
      <c r="HU10" s="35"/>
      <c r="HV10" s="35"/>
      <c r="HW10" s="35"/>
      <c r="HX10" s="35"/>
      <c r="HY10" s="35"/>
      <c r="HZ10" s="7"/>
      <c r="IA10" s="28"/>
      <c r="IB10" s="29"/>
      <c r="IC10" s="29"/>
      <c r="ID10" s="29"/>
      <c r="IE10" s="51"/>
      <c r="IF10" s="26"/>
      <c r="IG10" s="50"/>
      <c r="IH10" s="35"/>
      <c r="II10" s="35"/>
      <c r="IJ10" s="35"/>
      <c r="IK10" s="35"/>
      <c r="IL10" s="35"/>
      <c r="IM10" s="35"/>
      <c r="IN10" s="35"/>
      <c r="IO10" s="35"/>
      <c r="IP10" s="35"/>
      <c r="IQ10" s="7"/>
      <c r="IR10" s="28"/>
      <c r="IS10" s="29"/>
      <c r="IT10" s="29"/>
      <c r="IU10" s="29"/>
      <c r="IV10" s="51"/>
      <c r="IW10" s="26"/>
    </row>
    <row r="11" spans="1:257" x14ac:dyDescent="0.3">
      <c r="A11">
        <v>6</v>
      </c>
      <c r="B11" s="34">
        <v>2027</v>
      </c>
      <c r="C11" s="52"/>
      <c r="D11" s="36"/>
      <c r="E11" s="36"/>
      <c r="F11" s="36"/>
      <c r="G11" s="36"/>
      <c r="H11" s="36"/>
      <c r="I11" s="36"/>
      <c r="J11" s="36"/>
      <c r="K11" s="36"/>
      <c r="L11" s="36"/>
      <c r="M11" s="37"/>
      <c r="N11" s="28">
        <f>'Capital Cost'!C7</f>
        <v>1725210</v>
      </c>
      <c r="O11" s="53"/>
      <c r="P11" s="53"/>
      <c r="Q11" s="53">
        <f>SUM(N11:P11)</f>
        <v>1725210</v>
      </c>
      <c r="R11" s="54">
        <f>Q11/(1+$C$35)^$A11</f>
        <v>1149580.2679504857</v>
      </c>
      <c r="S11" s="26"/>
      <c r="T11" s="52"/>
      <c r="U11" s="36"/>
      <c r="V11" s="36"/>
      <c r="W11" s="36"/>
      <c r="X11" s="36"/>
      <c r="Y11" s="36"/>
      <c r="Z11" s="36"/>
      <c r="AA11" s="36"/>
      <c r="AB11" s="36"/>
      <c r="AC11" s="36"/>
      <c r="AD11" s="37"/>
      <c r="AE11" s="28">
        <f>'Capital Cost'!D7</f>
        <v>572217</v>
      </c>
      <c r="AF11" s="53"/>
      <c r="AG11" s="53"/>
      <c r="AH11" s="53">
        <f>SUM(AE11:AG11)</f>
        <v>572217</v>
      </c>
      <c r="AI11" s="54">
        <f>AH11/((1+$C$35)^$A11)</f>
        <v>381292.34828561335</v>
      </c>
      <c r="AJ11" s="26"/>
      <c r="AK11" s="52"/>
      <c r="AL11" s="36"/>
      <c r="AM11" s="36"/>
      <c r="AN11" s="36"/>
      <c r="AO11" s="36"/>
      <c r="AP11" s="36"/>
      <c r="AQ11" s="36"/>
      <c r="AR11" s="36"/>
      <c r="AS11" s="36"/>
      <c r="AT11" s="36"/>
      <c r="AU11" s="37"/>
      <c r="AV11" s="28">
        <f>'Capital Cost'!I7</f>
        <v>745473</v>
      </c>
      <c r="AW11" s="53"/>
      <c r="AX11" s="53"/>
      <c r="AY11" s="53">
        <f>SUM(AV11:AX11)</f>
        <v>745473</v>
      </c>
      <c r="AZ11" s="54">
        <f t="shared" ref="AZ11:AZ31" si="0">AY11/(1+$C$35)^$A11</f>
        <v>496740.13661516702</v>
      </c>
      <c r="BA11" s="26"/>
      <c r="BB11" s="52"/>
      <c r="BC11" s="36"/>
      <c r="BD11" s="36"/>
      <c r="BE11" s="36"/>
      <c r="BF11" s="36"/>
      <c r="BG11" s="36"/>
      <c r="BH11" s="36"/>
      <c r="BI11" s="36"/>
      <c r="BJ11" s="36"/>
      <c r="BK11" s="36"/>
      <c r="BL11" s="37"/>
      <c r="BM11" s="28">
        <f>'Capital Cost'!H7</f>
        <v>377109</v>
      </c>
      <c r="BN11" s="53"/>
      <c r="BO11" s="53"/>
      <c r="BP11" s="53">
        <f>SUM(BM11:BO11)</f>
        <v>377109</v>
      </c>
      <c r="BQ11" s="54">
        <f t="shared" ref="BQ11:BQ31" si="1">BP11/(1+$C$35)^$A11</f>
        <v>251283.64968122123</v>
      </c>
      <c r="BR11" s="26"/>
      <c r="BS11" s="52"/>
      <c r="BT11" s="36"/>
      <c r="BU11" s="36"/>
      <c r="BV11" s="36"/>
      <c r="BW11" s="36"/>
      <c r="BX11" s="36"/>
      <c r="BY11" s="36"/>
      <c r="BZ11" s="36"/>
      <c r="CA11" s="36"/>
      <c r="CB11" s="36"/>
      <c r="CC11" s="37"/>
      <c r="CD11" s="28">
        <f>'Capital Cost'!G7</f>
        <v>452670</v>
      </c>
      <c r="CE11" s="53"/>
      <c r="CF11" s="53"/>
      <c r="CG11" s="53">
        <f>SUM(CD11:CF11)</f>
        <v>452670</v>
      </c>
      <c r="CH11" s="54">
        <f t="shared" ref="CH11:CH31" si="2">CG11/(1+$C$35)^$A11</f>
        <v>301633.13445502071</v>
      </c>
      <c r="CI11" s="26"/>
      <c r="CJ11" s="52"/>
      <c r="CK11" s="36"/>
      <c r="CL11" s="36"/>
      <c r="CM11" s="36"/>
      <c r="CN11" s="36"/>
      <c r="CO11" s="36"/>
      <c r="CP11" s="36"/>
      <c r="CQ11" s="36"/>
      <c r="CR11" s="36"/>
      <c r="CS11" s="36"/>
      <c r="CT11" s="37"/>
      <c r="CU11" s="28">
        <f>'Capital Cost'!F7</f>
        <v>163188</v>
      </c>
      <c r="CV11" s="53"/>
      <c r="CW11" s="53"/>
      <c r="CX11" s="53">
        <f t="shared" ref="CX11:CX12" si="3">SUM(CU11:CW11)</f>
        <v>163188</v>
      </c>
      <c r="CY11" s="54">
        <f t="shared" ref="CY11:CY31" si="4">CX11/(1+$C$35)^$A11</f>
        <v>108739.05482016905</v>
      </c>
      <c r="CZ11" s="26"/>
      <c r="DA11" s="52"/>
      <c r="DB11" s="36"/>
      <c r="DC11" s="36"/>
      <c r="DD11" s="36"/>
      <c r="DE11" s="36"/>
      <c r="DF11" s="36"/>
      <c r="DG11" s="36"/>
      <c r="DH11" s="36"/>
      <c r="DI11" s="36"/>
      <c r="DJ11" s="36"/>
      <c r="DK11" s="37"/>
      <c r="DL11" s="28">
        <f>'Capital Cost'!E7</f>
        <v>1503651</v>
      </c>
      <c r="DM11" s="53"/>
      <c r="DN11" s="53"/>
      <c r="DO11" s="53">
        <f>SUM(DL11:DN11)</f>
        <v>1503651</v>
      </c>
      <c r="DP11" s="54">
        <f t="shared" ref="DP11:DP31" si="5">DO11/(1+$C$35)^$A11</f>
        <v>1001946.1511839229</v>
      </c>
      <c r="DQ11" s="26"/>
      <c r="DR11" s="52"/>
      <c r="DS11" s="36"/>
      <c r="DT11" s="36"/>
      <c r="DU11" s="36"/>
      <c r="DV11" s="36"/>
      <c r="DW11" s="36"/>
      <c r="DX11" s="36"/>
      <c r="DY11" s="36"/>
      <c r="DZ11" s="36"/>
      <c r="EA11" s="36"/>
      <c r="EB11" s="37"/>
      <c r="EC11" s="28">
        <f>'Capital Cost'!K7</f>
        <v>850632</v>
      </c>
      <c r="ED11" s="53"/>
      <c r="EE11" s="53"/>
      <c r="EF11" s="53">
        <f t="shared" ref="EF11:EF12" si="6">SUM(EC11:EE11)</f>
        <v>850632</v>
      </c>
      <c r="EG11" s="54">
        <f t="shared" ref="EG11:EG31" si="7">EF11/(1+$C$35)^$A11</f>
        <v>566812.01852948766</v>
      </c>
      <c r="EH11" s="26"/>
      <c r="EI11" s="52"/>
      <c r="EJ11" s="36"/>
      <c r="EK11" s="36"/>
      <c r="EL11" s="36"/>
      <c r="EM11" s="36"/>
      <c r="EN11" s="36"/>
      <c r="EO11" s="36"/>
      <c r="EP11" s="36"/>
      <c r="EQ11" s="36"/>
      <c r="ER11" s="36"/>
      <c r="ES11" s="37"/>
      <c r="ET11" s="28">
        <f>'Capital Cost'!J7</f>
        <v>834405</v>
      </c>
      <c r="EU11" s="53"/>
      <c r="EV11" s="53"/>
      <c r="EW11" s="53">
        <f>SUM(ET11:EV11)</f>
        <v>834405</v>
      </c>
      <c r="EX11" s="54">
        <f t="shared" ref="EX11:EX31" si="8">EW11/(1+$C$35)^$A11</f>
        <v>555999.2832636172</v>
      </c>
      <c r="EY11" s="26"/>
      <c r="EZ11" s="52"/>
      <c r="FA11" s="55"/>
      <c r="FB11" s="36"/>
      <c r="FC11" s="56"/>
      <c r="FD11" s="56"/>
      <c r="FE11" s="56"/>
      <c r="FF11" s="36"/>
      <c r="FG11" s="36"/>
      <c r="FH11" s="36"/>
      <c r="FI11" s="56"/>
      <c r="FJ11" s="57"/>
      <c r="FK11" s="28">
        <f>'Capital Cost'!L7</f>
        <v>942819</v>
      </c>
      <c r="FL11" s="53"/>
      <c r="FM11" s="53"/>
      <c r="FN11" s="53">
        <f t="shared" ref="FN11:FN12" si="9">SUM(FK11:FM11)</f>
        <v>942819</v>
      </c>
      <c r="FO11" s="54">
        <f t="shared" ref="FO11:FO31" si="10">FN11/(1+$C$35)^$A11</f>
        <v>628240.10911646055</v>
      </c>
      <c r="FP11" s="26"/>
      <c r="FQ11" s="52"/>
      <c r="FR11" s="36"/>
      <c r="FS11" s="36"/>
      <c r="FT11" s="36"/>
      <c r="FU11" s="36"/>
      <c r="FV11" s="36"/>
      <c r="FW11" s="36"/>
      <c r="FX11" s="36"/>
      <c r="FY11" s="36"/>
      <c r="FZ11" s="36"/>
      <c r="GA11" s="37"/>
      <c r="GB11" s="28">
        <f>'Capital Cost'!M7</f>
        <v>363162</v>
      </c>
      <c r="GC11" s="53"/>
      <c r="GD11" s="53"/>
      <c r="GE11" s="53">
        <f>SUM(GB11:GD11)</f>
        <v>363162</v>
      </c>
      <c r="GF11" s="54">
        <f t="shared" ref="GF11:GF31" si="11">GE11/(1+$C$35)^$A11</f>
        <v>241990.17468565234</v>
      </c>
      <c r="GG11" s="26"/>
      <c r="GH11" s="52"/>
      <c r="GI11" s="55"/>
      <c r="GJ11" s="36"/>
      <c r="GK11" s="56"/>
      <c r="GL11" s="56"/>
      <c r="GM11" s="56"/>
      <c r="GN11" s="36"/>
      <c r="GO11" s="36"/>
      <c r="GP11" s="36"/>
      <c r="GQ11" s="56"/>
      <c r="GR11" s="57"/>
      <c r="GS11" s="28">
        <f>'Capital Cost'!N7</f>
        <v>581697</v>
      </c>
      <c r="GT11" s="53"/>
      <c r="GU11" s="53"/>
      <c r="GV11" s="53">
        <f t="shared" ref="GV11:GV12" si="12">SUM(GS11:GU11)</f>
        <v>581697</v>
      </c>
      <c r="GW11" s="54">
        <f t="shared" ref="GW11:GW31" si="13">GV11/(1+$C$35)^$A11</f>
        <v>387609.2725673939</v>
      </c>
      <c r="GX11" s="26"/>
      <c r="GY11" s="52"/>
      <c r="GZ11" s="55"/>
      <c r="HA11" s="36"/>
      <c r="HB11" s="56"/>
      <c r="HC11" s="56"/>
      <c r="HD11" s="56"/>
      <c r="HE11" s="36"/>
      <c r="HF11" s="36"/>
      <c r="HG11" s="36"/>
      <c r="HH11" s="56"/>
      <c r="HI11" s="57"/>
      <c r="HJ11" s="28">
        <f>'Capital Cost'!O7</f>
        <v>537351</v>
      </c>
      <c r="HK11" s="53"/>
      <c r="HL11" s="53"/>
      <c r="HM11" s="53">
        <f t="shared" ref="HM11:HM12" si="14">SUM(HJ11:HL11)</f>
        <v>537351</v>
      </c>
      <c r="HN11" s="54">
        <f t="shared" ref="HN11:HN31" si="15">HM11/(1+$C$35)^$A11</f>
        <v>358059.66031002684</v>
      </c>
      <c r="HO11" s="26"/>
      <c r="HP11" s="52"/>
      <c r="HQ11" s="55"/>
      <c r="HR11" s="36"/>
      <c r="HS11" s="56"/>
      <c r="HT11" s="56"/>
      <c r="HU11" s="56"/>
      <c r="HV11" s="36"/>
      <c r="HW11" s="36"/>
      <c r="HX11" s="36"/>
      <c r="HY11" s="56"/>
      <c r="HZ11" s="57"/>
      <c r="IA11" s="28">
        <f>'Capital Cost'!P7</f>
        <v>1253235</v>
      </c>
      <c r="IB11" s="53"/>
      <c r="IC11" s="53"/>
      <c r="ID11" s="53">
        <f t="shared" ref="ID11:ID12" si="16">SUM(IA11:IC11)</f>
        <v>1253235</v>
      </c>
      <c r="IE11" s="54">
        <f t="shared" ref="IE11:IE31" si="17">ID11/(1+$C$35)^$A11</f>
        <v>835083.39686468709</v>
      </c>
      <c r="IF11" s="26"/>
      <c r="IG11" s="52"/>
      <c r="IH11" s="55"/>
      <c r="II11" s="36"/>
      <c r="IJ11" s="56"/>
      <c r="IK11" s="56"/>
      <c r="IL11" s="56"/>
      <c r="IM11" s="36"/>
      <c r="IN11" s="36"/>
      <c r="IO11" s="36"/>
      <c r="IP11" s="56"/>
      <c r="IQ11" s="57"/>
      <c r="IR11" s="28">
        <f>'Capital Cost'!Q7</f>
        <v>1397181</v>
      </c>
      <c r="IS11" s="53"/>
      <c r="IT11" s="53"/>
      <c r="IU11" s="53">
        <f t="shared" ref="IU11:IU12" si="18">SUM(IR11:IT11)</f>
        <v>1397181</v>
      </c>
      <c r="IV11" s="54">
        <f t="shared" ref="IV11:IV31" si="19">IU11/(1+$C$35)^$A11</f>
        <v>931000.69461417885</v>
      </c>
      <c r="IW11" s="26"/>
    </row>
    <row r="12" spans="1:257" x14ac:dyDescent="0.3">
      <c r="A12">
        <v>7</v>
      </c>
      <c r="B12" s="34">
        <v>2028</v>
      </c>
      <c r="C12" s="52">
        <f>('Safety and Crash Costs'!$V$13+'Safety and Crash Costs'!$V$29)/20</f>
        <v>435297.07500000001</v>
      </c>
      <c r="D12" s="55">
        <f>'Health - Emissions'!N11</f>
        <v>2.6873337148106775</v>
      </c>
      <c r="E12" s="36"/>
      <c r="F12" s="56">
        <f>'Health - Emissions'!O11</f>
        <v>1.9187863075601861</v>
      </c>
      <c r="G12" s="56">
        <f>'Health - Mortality'!AQ9</f>
        <v>1043.6250533443592</v>
      </c>
      <c r="H12" s="56">
        <f>'Health - Emissions'!F11*'Economic Activity'!$C$3</f>
        <v>54.121287731292767</v>
      </c>
      <c r="I12" s="36"/>
      <c r="J12" s="36"/>
      <c r="K12" s="36"/>
      <c r="L12" s="56">
        <f t="shared" ref="L12" si="20">SUM(C12:K12)</f>
        <v>436399.42746109801</v>
      </c>
      <c r="M12" s="57">
        <f>((L12)/((1+$C$35)^$A12))+(D12/((1+$D$35)^$A12))</f>
        <v>271769.81585821381</v>
      </c>
      <c r="N12" s="28">
        <f>'Capital Cost'!C8</f>
        <v>0</v>
      </c>
      <c r="O12" s="53">
        <f>'O&amp;M'!$C$10</f>
        <v>12525.21</v>
      </c>
      <c r="P12" s="53"/>
      <c r="Q12" s="53">
        <f>SUM(N12:P12)</f>
        <v>12525.21</v>
      </c>
      <c r="R12" s="54">
        <f>Q12/(1+$C$35)^$A12</f>
        <v>7800.0712945502992</v>
      </c>
      <c r="S12" s="26"/>
      <c r="T12" s="52">
        <f>('Safety and Crash Costs'!$V$14+'Safety and Crash Costs'!$V$30)/20</f>
        <v>181788.7</v>
      </c>
      <c r="U12" s="55">
        <f>'Health - Emissions'!AB11</f>
        <v>0.48973498896130685</v>
      </c>
      <c r="V12" s="36"/>
      <c r="W12" s="56">
        <f>'Health - Emissions'!AC11</f>
        <v>0.34967625567794286</v>
      </c>
      <c r="X12" s="56">
        <f>'Health - Mortality'!AR9</f>
        <v>190.18840167208256</v>
      </c>
      <c r="Y12" s="56">
        <f>'Health - Emissions'!T11*'Economic Activity'!$C$3</f>
        <v>9.8629686754492472</v>
      </c>
      <c r="Z12" s="36"/>
      <c r="AA12" s="36"/>
      <c r="AB12" s="36"/>
      <c r="AC12" s="56">
        <f>SUM(T12:AB12)</f>
        <v>181989.59078159218</v>
      </c>
      <c r="AD12" s="57">
        <f t="shared" ref="AD12:AD31" si="21">((AC12-U12)/(1+$C$35)^$A12)+(U12/(1+$D$35)^$A12)</f>
        <v>113334.06390194326</v>
      </c>
      <c r="AE12" s="28">
        <f>'Capital Cost'!D8</f>
        <v>0</v>
      </c>
      <c r="AF12" s="53">
        <f>'O&amp;M'!$D$10</f>
        <v>4532.2169999999996</v>
      </c>
      <c r="AG12" s="53"/>
      <c r="AH12" s="53">
        <f>SUM(AE12:AG12)</f>
        <v>4532.2169999999996</v>
      </c>
      <c r="AI12" s="54">
        <f>AH12/((1+$C$35)^$A12)</f>
        <v>2822.4369669149555</v>
      </c>
      <c r="AJ12" s="26"/>
      <c r="AK12" s="52">
        <f>('Safety and Crash Costs'!$V$15+'Safety and Crash Costs'!$V$31)/20</f>
        <v>164338.04999999999</v>
      </c>
      <c r="AL12" s="55">
        <f>'Health - Emissions'!AP11</f>
        <v>0.37216679064880082</v>
      </c>
      <c r="AM12" s="36"/>
      <c r="AN12" s="56">
        <f>'Health - Emissions'!AQ11</f>
        <v>0.26573124807309106</v>
      </c>
      <c r="AO12" s="56">
        <f>'Health - Mortality'!AS9</f>
        <v>144.53083537904286</v>
      </c>
      <c r="AP12" s="56">
        <f>'Health - Emissions'!AH11*'Economic Activity'!$C$3</f>
        <v>7.4952157410619771</v>
      </c>
      <c r="AQ12" s="36"/>
      <c r="AR12" s="36"/>
      <c r="AS12" s="36"/>
      <c r="AT12" s="56">
        <f>SUM(AK12:AS12)</f>
        <v>164490.71394915882</v>
      </c>
      <c r="AU12" s="57">
        <f t="shared" ref="AU12:AU31" si="22">((AT12-AL12)/(1+$C$35)^$A12)+(AL12/(1+$D$35)^$A12)</f>
        <v>102436.62049313623</v>
      </c>
      <c r="AV12" s="28">
        <f>'Capital Cost'!I8</f>
        <v>0</v>
      </c>
      <c r="AW12" s="53">
        <f>'O&amp;M'!$E$10</f>
        <v>8343.6509999999998</v>
      </c>
      <c r="AX12" s="53"/>
      <c r="AY12" s="53">
        <f>SUM(AV12:AX12)</f>
        <v>8343.6509999999998</v>
      </c>
      <c r="AZ12" s="54">
        <f t="shared" si="0"/>
        <v>5196.00650662511</v>
      </c>
      <c r="BA12" s="26"/>
      <c r="BB12" s="52">
        <f>('Safety and Crash Costs'!$V$16+'Safety and Crash Costs'!$V$32)/20</f>
        <v>24774.025000000001</v>
      </c>
      <c r="BC12" s="55">
        <f>'Health - Emissions'!BD11</f>
        <v>0.13707255803889884</v>
      </c>
      <c r="BD12" s="36"/>
      <c r="BE12" s="56">
        <f>'Health - Emissions'!BE11</f>
        <v>9.7871338441425093E-2</v>
      </c>
      <c r="BF12" s="56">
        <f>'Health - Mortality'!AT9</f>
        <v>53.232077172622965</v>
      </c>
      <c r="BG12" s="56">
        <f>'Health - Emissions'!AV11*'Economic Activity'!$C$3</f>
        <v>2.7605590302394605</v>
      </c>
      <c r="BH12" s="36"/>
      <c r="BI12" s="36"/>
      <c r="BJ12" s="36"/>
      <c r="BK12" s="56">
        <f>SUM(BB12:BJ12)</f>
        <v>24830.252580099346</v>
      </c>
      <c r="BL12" s="57">
        <f t="shared" ref="BL12:BL31" si="23">((BK12-BC12)/(1+$C$35)^$A12)+(BC12/(1+$D$35)^$A12)</f>
        <v>15463.059475819313</v>
      </c>
      <c r="BM12" s="28">
        <f>'Capital Cost'!H8</f>
        <v>0</v>
      </c>
      <c r="BN12" s="53">
        <f>'O&amp;M'!$F$10</f>
        <v>2683.1880000000001</v>
      </c>
      <c r="BO12" s="53"/>
      <c r="BP12" s="53">
        <f>SUM(BM12:BO12)</f>
        <v>2683.1880000000001</v>
      </c>
      <c r="BQ12" s="54">
        <f t="shared" si="1"/>
        <v>1670.9546344278324</v>
      </c>
      <c r="BR12" s="26"/>
      <c r="BS12" s="52">
        <f>('Safety and Crash Costs'!$V$17+'Safety and Crash Costs'!$V$33)/20</f>
        <v>127904.325</v>
      </c>
      <c r="BT12" s="55">
        <f>'Health - Emissions'!BR11</f>
        <v>0.11660977486316551</v>
      </c>
      <c r="BU12" s="36"/>
      <c r="BV12" s="56">
        <f>'Health - Emissions'!BS11</f>
        <v>8.3260682550131707E-2</v>
      </c>
      <c r="BW12" s="56">
        <f>'Health - Mortality'!AU9</f>
        <v>45.285362901279406</v>
      </c>
      <c r="BX12" s="56">
        <f>'Health - Emissions'!BJ11*'Economic Activity'!$C$3</f>
        <v>2.3484508614871697</v>
      </c>
      <c r="BY12" s="36"/>
      <c r="BZ12" s="36"/>
      <c r="CA12" s="36"/>
      <c r="CB12" s="56">
        <f>SUM(BS12:CA12)</f>
        <v>127952.15868422019</v>
      </c>
      <c r="CC12" s="57">
        <f t="shared" ref="CC12:CC31" si="24">((CB12-BT12)/(1+$C$35)^$A12)+(BT12/(1+$D$35)^$A12)</f>
        <v>79682.195989885251</v>
      </c>
      <c r="CD12" s="28">
        <f>'Capital Cost'!G8</f>
        <v>0</v>
      </c>
      <c r="CE12" s="53">
        <f>'O&amp;M'!$G$10</f>
        <v>4052.67</v>
      </c>
      <c r="CF12" s="53"/>
      <c r="CG12" s="53">
        <f>SUM(CD12:CF12)</f>
        <v>4052.67</v>
      </c>
      <c r="CH12" s="54">
        <f t="shared" si="2"/>
        <v>2523.7991964434259</v>
      </c>
      <c r="CI12" s="26"/>
      <c r="CJ12" s="52">
        <f>('Safety and Crash Costs'!$V$18+'Safety and Crash Costs'!$V$34)/20</f>
        <v>11114.924999999999</v>
      </c>
      <c r="CK12" s="55">
        <f>'Health - Emissions'!CF11</f>
        <v>6.0233604338054275E-2</v>
      </c>
      <c r="CL12" s="36"/>
      <c r="CM12" s="56">
        <f>'Health - Emissions'!CG11</f>
        <v>4.3007466702734629E-2</v>
      </c>
      <c r="CN12" s="56">
        <f>'Health - Mortality'!AV9</f>
        <v>23.391697947291778</v>
      </c>
      <c r="CO12" s="56">
        <f>'Health - Emissions'!BX11*'Economic Activity'!$C$3</f>
        <v>1.2130686313747754</v>
      </c>
      <c r="CP12" s="36"/>
      <c r="CQ12" s="36"/>
      <c r="CR12" s="36"/>
      <c r="CS12" s="56">
        <f>SUM(CJ12:CR12)</f>
        <v>11139.633007649705</v>
      </c>
      <c r="CT12" s="57">
        <f t="shared" ref="CT12:CT31" si="25">((CS12-CK12)/(1+$C$35)^$A12)+(CK12/(1+$D$35)^$A12)</f>
        <v>6937.2150451737562</v>
      </c>
      <c r="CU12" s="28">
        <f>'Capital Cost'!F8</f>
        <v>0</v>
      </c>
      <c r="CV12" s="53">
        <f>'O&amp;M'!$H$10</f>
        <v>1817.1089999999999</v>
      </c>
      <c r="CW12" s="53"/>
      <c r="CX12" s="53">
        <f t="shared" si="3"/>
        <v>1817.1089999999999</v>
      </c>
      <c r="CY12" s="54">
        <f t="shared" si="4"/>
        <v>1131.6041607261675</v>
      </c>
      <c r="CZ12" s="26"/>
      <c r="DA12" s="52">
        <f>('Safety and Crash Costs'!$V$19+'Safety and Crash Costs'!$V$35)/20</f>
        <v>437404.52500000002</v>
      </c>
      <c r="DB12" s="55">
        <f>'Health - Emissions'!CT11</f>
        <v>2.6567815553675165</v>
      </c>
      <c r="DC12" s="36"/>
      <c r="DD12" s="56">
        <f>'Health - Emissions'!CU11</f>
        <v>1.8969717242492843</v>
      </c>
      <c r="DE12" s="56">
        <f>'Health - Mortality'!AW9</f>
        <v>1031.7601335344648</v>
      </c>
      <c r="DF12" s="56">
        <f>'Health - Emissions'!CL11*'Economic Activity'!$C$3</f>
        <v>53.505985581462014</v>
      </c>
      <c r="DG12" s="36"/>
      <c r="DH12" s="36"/>
      <c r="DI12" s="36"/>
      <c r="DJ12" s="56">
        <f>SUM(DA12:DI12)</f>
        <v>438494.34487239557</v>
      </c>
      <c r="DK12" s="57">
        <f t="shared" ref="DK12:DK31" si="26">((DJ12-DB12)/(1+$C$35)^$A12)+(DB12/(1+$D$35)^$A12)</f>
        <v>273072.74578363955</v>
      </c>
      <c r="DL12" s="28">
        <f>'Capital Cost'!E8</f>
        <v>0</v>
      </c>
      <c r="DM12" s="53">
        <f>'O&amp;M'!$I$10</f>
        <v>12625.473</v>
      </c>
      <c r="DN12" s="53"/>
      <c r="DO12" s="53">
        <f>SUM(DL12:DN12)</f>
        <v>12625.473</v>
      </c>
      <c r="DP12" s="54">
        <f t="shared" si="5"/>
        <v>7862.5100519208745</v>
      </c>
      <c r="DQ12" s="26"/>
      <c r="DR12" s="52">
        <f>('Safety and Crash Costs'!$V$20+'Safety and Crash Costs'!$V$36)/20</f>
        <v>338656.9</v>
      </c>
      <c r="DS12" s="55">
        <f>'Health - Emissions'!DH11</f>
        <v>0.97021324538711284</v>
      </c>
      <c r="DT12" s="36"/>
      <c r="DU12" s="56">
        <f>'Health - Emissions'!DI11</f>
        <v>0.69274310086697777</v>
      </c>
      <c r="DV12" s="56">
        <f>'Health - Mortality'!AX9</f>
        <v>376.7819546906785</v>
      </c>
      <c r="DW12" s="56">
        <f>'Health - Emissions'!CZ11*'Economic Activity'!$C$3</f>
        <v>19.539512314720675</v>
      </c>
      <c r="DX12" s="36"/>
      <c r="DY12" s="36"/>
      <c r="DZ12" s="36"/>
      <c r="EA12" s="56">
        <f>SUM(DR12:DZ12)</f>
        <v>339054.88442335167</v>
      </c>
      <c r="EB12" s="57">
        <f t="shared" ref="EB12:EB31" si="27">((EA12-DS12)/(1+$C$35)^$A12)+(DS12/(1+$D$35)^$A12)</f>
        <v>211146.52643145801</v>
      </c>
      <c r="EC12" s="28">
        <f>'Capital Cost'!K8</f>
        <v>0</v>
      </c>
      <c r="ED12" s="53">
        <f>'O&amp;M'!$J$10</f>
        <v>6594.4049999999997</v>
      </c>
      <c r="EE12" s="53"/>
      <c r="EF12" s="53">
        <f t="shared" si="6"/>
        <v>6594.4049999999997</v>
      </c>
      <c r="EG12" s="54">
        <f t="shared" si="7"/>
        <v>4106.664011632457</v>
      </c>
      <c r="EH12" s="26"/>
      <c r="EI12" s="52">
        <f>('Safety and Crash Costs'!$V$21+'Safety and Crash Costs'!$V$37)/20</f>
        <v>143994.92499999999</v>
      </c>
      <c r="EJ12" s="55">
        <f>'Health - Emissions'!DV11</f>
        <v>0.37887504270913624</v>
      </c>
      <c r="EK12" s="36"/>
      <c r="EL12" s="56">
        <f>'Health - Emissions'!DW11</f>
        <v>0.27052101501944914</v>
      </c>
      <c r="EM12" s="56">
        <f>'Health - Mortality'!AY9</f>
        <v>147.13598258340045</v>
      </c>
      <c r="EN12" s="56">
        <f>'Health - Emissions'!DN11*'Economic Activity'!$C$3</f>
        <v>7.6303159103973019</v>
      </c>
      <c r="EO12" s="36"/>
      <c r="EP12" s="36"/>
      <c r="EQ12" s="36"/>
      <c r="ER12" s="56">
        <f>SUM(EI12:EQ12)</f>
        <v>144150.3406945515</v>
      </c>
      <c r="ES12" s="57">
        <f t="shared" ref="ES12:ES31" si="28">((ER12-EJ12)/(1+$C$35)^$A12)+(EJ12/(1+$D$35)^$A12)</f>
        <v>89769.659575853846</v>
      </c>
      <c r="ET12" s="28">
        <f>'Capital Cost'!J8</f>
        <v>0</v>
      </c>
      <c r="EU12" s="53">
        <f>'O&amp;M'!$K$10</f>
        <v>6250.6319999999996</v>
      </c>
      <c r="EV12" s="53"/>
      <c r="EW12" s="53">
        <f>SUM(ET12:EV12)</f>
        <v>6250.6319999999996</v>
      </c>
      <c r="EX12" s="54">
        <f t="shared" si="8"/>
        <v>3892.5794646155655</v>
      </c>
      <c r="EY12" s="26"/>
      <c r="EZ12" s="52">
        <f>('Safety and Crash Costs'!$V$22+'Safety and Crash Costs'!$V$38)/20</f>
        <v>212730</v>
      </c>
      <c r="FA12" s="55">
        <f>'Health - Emissions'!EJ11</f>
        <v>0.62613743876128258</v>
      </c>
      <c r="FB12" s="36"/>
      <c r="FC12" s="56">
        <f>'Health - Emissions'!EK11</f>
        <v>0.44706912934726228</v>
      </c>
      <c r="FD12" s="56">
        <f>'Health - Mortality'!AZ9</f>
        <v>243.16024255818175</v>
      </c>
      <c r="FE12" s="56">
        <f>'Health - Emissions'!EB11*'Economic Activity'!$C$3</f>
        <v>12.610032128042365</v>
      </c>
      <c r="FF12" s="36"/>
      <c r="FG12" s="36"/>
      <c r="FH12" s="36"/>
      <c r="FI12" s="56">
        <f t="shared" ref="FI12" si="29">SUM(EZ12:FH12)</f>
        <v>212986.84348125436</v>
      </c>
      <c r="FJ12" s="57">
        <f t="shared" ref="FJ12:FJ31" si="30">((FI12-FA12)/(1+$C$35)^$A12)+(FA12/(1+$D$35)^$A12)</f>
        <v>132637.62098287299</v>
      </c>
      <c r="FK12" s="28">
        <f>'Capital Cost'!L8</f>
        <v>0</v>
      </c>
      <c r="FL12" s="53">
        <f>'O&amp;M'!$L$10</f>
        <v>7062.8190000000004</v>
      </c>
      <c r="FM12" s="53"/>
      <c r="FN12" s="53">
        <f t="shared" si="9"/>
        <v>7062.8190000000004</v>
      </c>
      <c r="FO12" s="54">
        <f t="shared" si="10"/>
        <v>4398.3687092275859</v>
      </c>
      <c r="FP12" s="26"/>
      <c r="FQ12" s="52">
        <f>('Safety and Crash Costs'!$V$23+'Safety and Crash Costs'!$V$39)/20</f>
        <v>36292.275000000001</v>
      </c>
      <c r="FR12" s="55">
        <f>'Health - Emissions'!EX11</f>
        <v>9.0523558321144573E-2</v>
      </c>
      <c r="FS12" s="36"/>
      <c r="FT12" s="56">
        <f>'Health - Emissions'!EY11</f>
        <v>6.4634832384587185E-2</v>
      </c>
      <c r="FU12" s="56">
        <f>'Health - Mortality'!BA9</f>
        <v>35.154790363831424</v>
      </c>
      <c r="FV12" s="56">
        <f>'Health - Emissions'!EP11*'Economic Activity'!$C$3</f>
        <v>1.8230901206492989</v>
      </c>
      <c r="FW12" s="36"/>
      <c r="FX12" s="36"/>
      <c r="FY12" s="36"/>
      <c r="FZ12" s="56">
        <f>SUM(FQ12:FY12)</f>
        <v>36329.40803887519</v>
      </c>
      <c r="GA12" s="57">
        <f t="shared" ref="GA12:GA31" si="31">((FZ12-FR12)/(1+$C$35)^$A12)+(FR12/(1+$D$35)^$A12)</f>
        <v>22624.146709443783</v>
      </c>
      <c r="GB12" s="28">
        <f>'Capital Cost'!M8</f>
        <v>0</v>
      </c>
      <c r="GC12" s="53">
        <f>'O&amp;M'!$M$10</f>
        <v>2523.1620000000003</v>
      </c>
      <c r="GD12" s="53"/>
      <c r="GE12" s="53">
        <f>SUM(GB12:GD12)</f>
        <v>2523.1620000000003</v>
      </c>
      <c r="GF12" s="54">
        <f t="shared" si="11"/>
        <v>1571.2984842330088</v>
      </c>
      <c r="GG12" s="26"/>
      <c r="GH12" s="52">
        <f>('Safety and Crash Costs'!$V$24+'Safety and Crash Costs'!$V$40)/20</f>
        <v>43497.4</v>
      </c>
      <c r="GI12" s="55">
        <f>'Health - Emissions'!FL11</f>
        <v>0.42953674458475766</v>
      </c>
      <c r="GJ12" s="36"/>
      <c r="GK12" s="56">
        <f>'Health - Emissions'!FM11</f>
        <v>0.30669403638292614</v>
      </c>
      <c r="GL12" s="56">
        <f>'Health - Mortality'!BB9</f>
        <v>166.81043575275172</v>
      </c>
      <c r="GM12" s="56">
        <f>'Health - Emissions'!FD11*'Economic Activity'!$C$3</f>
        <v>8.6506121724715666</v>
      </c>
      <c r="GN12" s="36"/>
      <c r="GO12" s="36"/>
      <c r="GP12" s="36"/>
      <c r="GQ12" s="56">
        <f t="shared" ref="GQ12" si="32">SUM(GH12:GP12)</f>
        <v>43673.597278706191</v>
      </c>
      <c r="GR12" s="57">
        <f t="shared" ref="GR12:GR31" si="33">((GQ12-GI12)/(1+$C$35)^$A12)+(GI12/(1+$D$35)^$A12)</f>
        <v>27197.803191269875</v>
      </c>
      <c r="GS12" s="28">
        <f>'Capital Cost'!N8</f>
        <v>0</v>
      </c>
      <c r="GT12" s="53">
        <f>'O&amp;M'!$N$10</f>
        <v>4541.6970000000001</v>
      </c>
      <c r="GU12" s="53"/>
      <c r="GV12" s="53">
        <f t="shared" si="12"/>
        <v>4541.6970000000001</v>
      </c>
      <c r="GW12" s="54">
        <f t="shared" si="13"/>
        <v>2828.340634468022</v>
      </c>
      <c r="GX12" s="26"/>
      <c r="GY12" s="52">
        <f>('Safety and Crash Costs'!$V$25+'Safety and Crash Costs'!$V$41)/20</f>
        <v>95168.4</v>
      </c>
      <c r="GZ12" s="55">
        <f>'Health - Emissions'!FZ11</f>
        <v>0.25592301488538999</v>
      </c>
      <c r="HA12" s="36"/>
      <c r="HB12" s="56">
        <f>'Health - Emissions'!GA11</f>
        <v>0.18273189297080034</v>
      </c>
      <c r="HC12" s="56">
        <f>'Health - Mortality'!BC9</f>
        <v>99.387608092666923</v>
      </c>
      <c r="HD12" s="56">
        <f>'Health - Emissions'!FR11*'Economic Activity'!$C$3</f>
        <v>5.1541358817239065</v>
      </c>
      <c r="HE12" s="36"/>
      <c r="HF12" s="36"/>
      <c r="HG12" s="36"/>
      <c r="HH12" s="56">
        <f t="shared" ref="HH12" si="34">SUM(GY12:HG12)</f>
        <v>95273.380398882247</v>
      </c>
      <c r="HI12" s="57">
        <f t="shared" ref="HI12:HI31" si="35">((HH12-GZ12)/(1+$C$35)^$A12)+(GZ12/(1+$D$35)^$A12)</f>
        <v>59331.521764715872</v>
      </c>
      <c r="HJ12" s="28">
        <f>'Capital Cost'!O8</f>
        <v>0</v>
      </c>
      <c r="HK12" s="53">
        <f>'O&amp;M'!$O$10</f>
        <v>5217.3509999999997</v>
      </c>
      <c r="HL12" s="53"/>
      <c r="HM12" s="53">
        <f t="shared" si="14"/>
        <v>5217.3509999999997</v>
      </c>
      <c r="HN12" s="54">
        <f t="shared" si="15"/>
        <v>3249.103988571313</v>
      </c>
      <c r="HO12" s="26"/>
      <c r="HP12" s="52">
        <f>('Safety and Crash Costs'!$V$26+'Safety and Crash Costs'!$V$42)/20</f>
        <v>142756.9</v>
      </c>
      <c r="HQ12" s="55">
        <f>'Health - Emissions'!GN11</f>
        <v>0.7820541311186554</v>
      </c>
      <c r="HR12" s="36"/>
      <c r="HS12" s="56">
        <f>'Health - Emissions'!GO11</f>
        <v>0.55839539030494811</v>
      </c>
      <c r="HT12" s="56">
        <f>'Health - Mortality'!BD9</f>
        <v>303.71043231762616</v>
      </c>
      <c r="HU12" s="56">
        <f>'Health - Emissions'!GF11*'Economic Activity'!$C$3</f>
        <v>15.750100710771145</v>
      </c>
      <c r="HV12" s="36"/>
      <c r="HW12" s="36"/>
      <c r="HX12" s="36"/>
      <c r="HY12" s="56">
        <f t="shared" ref="HY12" si="36">SUM(HP12:HX12)</f>
        <v>143077.70098254984</v>
      </c>
      <c r="HZ12" s="57">
        <f t="shared" ref="HZ12:HZ31" si="37">((HY12-HQ12)/(1+$C$35)^$A12)+(HQ12/(1+$D$35)^$A12)</f>
        <v>89101.750213890744</v>
      </c>
      <c r="IA12" s="28">
        <f>'Capital Cost'!P8</f>
        <v>0</v>
      </c>
      <c r="IB12" s="53">
        <f>'O&amp;M'!$P$10</f>
        <v>10253.235000000001</v>
      </c>
      <c r="IC12" s="53"/>
      <c r="ID12" s="53">
        <f t="shared" si="16"/>
        <v>10253.235000000001</v>
      </c>
      <c r="IE12" s="54">
        <f t="shared" si="17"/>
        <v>6385.1994497320557</v>
      </c>
      <c r="IF12" s="26"/>
      <c r="IG12" s="52">
        <f>('Safety and Crash Costs'!$V$27+'Safety and Crash Costs'!$V$43)/20</f>
        <v>137635.97500000001</v>
      </c>
      <c r="IH12" s="55">
        <f>'Health - Emissions'!HB11</f>
        <v>0.82240077175765358</v>
      </c>
      <c r="II12" s="36"/>
      <c r="IJ12" s="56">
        <f>'Health - Emissions'!HC11</f>
        <v>0.58720334265842622</v>
      </c>
      <c r="IK12" s="56">
        <f>'Health - Mortality'!BE9</f>
        <v>319.37903527418405</v>
      </c>
      <c r="IL12" s="56">
        <f>'Health - Emissions'!GT11*'Economic Activity'!$C$3</f>
        <v>16.56265783197264</v>
      </c>
      <c r="IM12" s="36"/>
      <c r="IN12" s="36"/>
      <c r="IO12" s="36"/>
      <c r="IP12" s="56">
        <f t="shared" ref="IP12" si="38">SUM(IG12:IO12)</f>
        <v>137973.32629722057</v>
      </c>
      <c r="IQ12" s="57">
        <f t="shared" ref="IQ12:IQ31" si="39">((IP12-IH12)/(1+$C$35)^$A12)+(IH12/(1+$D$35)^$A12)</f>
        <v>85923.009875770673</v>
      </c>
      <c r="IR12" s="28">
        <f>'Capital Cost'!Q8</f>
        <v>0</v>
      </c>
      <c r="IS12" s="53">
        <f>'O&amp;M'!$Q$10</f>
        <v>9677.1810000000005</v>
      </c>
      <c r="IT12" s="53"/>
      <c r="IU12" s="53">
        <f t="shared" si="18"/>
        <v>9677.1810000000005</v>
      </c>
      <c r="IV12" s="54">
        <f t="shared" si="19"/>
        <v>6026.4619699204695</v>
      </c>
      <c r="IW12" s="26"/>
    </row>
    <row r="13" spans="1:257" x14ac:dyDescent="0.3">
      <c r="A13">
        <v>8</v>
      </c>
      <c r="B13" s="34">
        <v>2029</v>
      </c>
      <c r="C13" s="52">
        <f>('Safety and Crash Costs'!$V$13+'Safety and Crash Costs'!$V$29)/20</f>
        <v>435297.07500000001</v>
      </c>
      <c r="D13" s="55">
        <f>'Health - Emissions'!N12</f>
        <v>2.7503386871953448</v>
      </c>
      <c r="E13" s="36"/>
      <c r="F13" s="56">
        <f>'Health - Emissions'!O12</f>
        <v>1.9724472424918296</v>
      </c>
      <c r="G13" s="56">
        <f>'Health - Mortality'!AQ10</f>
        <v>1051.1391537284421</v>
      </c>
      <c r="H13" s="56">
        <f>'Health - Emissions'!F12*'Economic Activity'!$C$3</f>
        <v>54.510961002958261</v>
      </c>
      <c r="I13" s="36"/>
      <c r="J13" s="36"/>
      <c r="K13" s="36"/>
      <c r="L13" s="56">
        <f t="shared" ref="L13:L31" si="40">SUM(C13:K13)</f>
        <v>436407.44790066109</v>
      </c>
      <c r="M13" s="57">
        <f>((L13)/((1+$C$35)^$A13))+(D13/((1+$D$35)^$A13))</f>
        <v>253995.2791209346</v>
      </c>
      <c r="N13" s="28">
        <f>'Capital Cost'!C9</f>
        <v>0</v>
      </c>
      <c r="O13" s="53">
        <f>'O&amp;M'!$C$10</f>
        <v>12525.21</v>
      </c>
      <c r="P13" s="53"/>
      <c r="Q13" s="53">
        <f>SUM(N13:P13)</f>
        <v>12525.21</v>
      </c>
      <c r="R13" s="54">
        <f t="shared" ref="R13:R31" si="41">Q13/(1+$C$35)^A13</f>
        <v>7289.7862565890646</v>
      </c>
      <c r="S13" s="26"/>
      <c r="T13" s="52">
        <f>('Safety and Crash Costs'!$V$14+'Safety and Crash Costs'!$V$30)/20</f>
        <v>181788.7</v>
      </c>
      <c r="U13" s="55">
        <f>'Health - Emissions'!AB12</f>
        <v>0.50121690476701741</v>
      </c>
      <c r="V13" s="36"/>
      <c r="W13" s="56">
        <f>'Health - Emissions'!AC12</f>
        <v>0.35945533046555139</v>
      </c>
      <c r="X13" s="56">
        <f>'Health - Mortality'!AR10</f>
        <v>191.55775816412097</v>
      </c>
      <c r="Y13" s="56">
        <f>'Health - Emissions'!T12*'Economic Activity'!$C$3</f>
        <v>9.9339820499124496</v>
      </c>
      <c r="Z13" s="36"/>
      <c r="AA13" s="36"/>
      <c r="AB13" s="36"/>
      <c r="AC13" s="56">
        <f>SUM(T13:AB13)</f>
        <v>181991.05241244927</v>
      </c>
      <c r="AD13" s="57">
        <f t="shared" si="21"/>
        <v>105920.55340586966</v>
      </c>
      <c r="AE13" s="28">
        <f>'Capital Cost'!D9</f>
        <v>0</v>
      </c>
      <c r="AF13" s="53">
        <f>'O&amp;M'!$D$10</f>
        <v>4532.2169999999996</v>
      </c>
      <c r="AG13" s="53"/>
      <c r="AH13" s="53">
        <f>SUM(AE13:AG13)</f>
        <v>4532.2169999999996</v>
      </c>
      <c r="AI13" s="54">
        <f t="shared" ref="AI13:AI31" si="42">AH13/(1+$C$35)^$A13</f>
        <v>2637.7915578644447</v>
      </c>
      <c r="AJ13" s="26"/>
      <c r="AK13" s="52">
        <f>('Safety and Crash Costs'!$V$15+'Safety and Crash Costs'!$V$31)/20</f>
        <v>164338.04999999999</v>
      </c>
      <c r="AL13" s="55">
        <f>'Health - Emissions'!AP12</f>
        <v>0.38089230108246264</v>
      </c>
      <c r="AM13" s="36"/>
      <c r="AN13" s="56">
        <f>'Health - Emissions'!AQ12</f>
        <v>0.27316270990704727</v>
      </c>
      <c r="AO13" s="56">
        <f>'Health - Mortality'!AS10</f>
        <v>145.57145739377157</v>
      </c>
      <c r="AP13" s="56">
        <f>'Health - Emissions'!AH12*'Economic Activity'!$C$3</f>
        <v>7.5491812943976031</v>
      </c>
      <c r="AQ13" s="36"/>
      <c r="AR13" s="36"/>
      <c r="AS13" s="36"/>
      <c r="AT13" s="56">
        <f>SUM(AK13:AS13)</f>
        <v>164491.82469369913</v>
      </c>
      <c r="AU13" s="57">
        <f t="shared" si="22"/>
        <v>95735.818595361765</v>
      </c>
      <c r="AV13" s="28">
        <f>'Capital Cost'!I9</f>
        <v>0</v>
      </c>
      <c r="AW13" s="53">
        <f>'O&amp;M'!$E$10</f>
        <v>8343.6509999999998</v>
      </c>
      <c r="AX13" s="53"/>
      <c r="AY13" s="53">
        <f>SUM(AV13:AX13)</f>
        <v>8343.6509999999998</v>
      </c>
      <c r="AZ13" s="54">
        <f t="shared" si="0"/>
        <v>4856.0808473131874</v>
      </c>
      <c r="BA13" s="26"/>
      <c r="BB13" s="52">
        <f>('Safety and Crash Costs'!$V$16+'Safety and Crash Costs'!$V$32)/20</f>
        <v>24774.025000000001</v>
      </c>
      <c r="BC13" s="55">
        <f>'Health - Emissions'!BD12</f>
        <v>0.14028624627059791</v>
      </c>
      <c r="BD13" s="36"/>
      <c r="BE13" s="56">
        <f>'Health - Emissions'!BE12</f>
        <v>0.10060841630313627</v>
      </c>
      <c r="BF13" s="56">
        <f>'Health - Mortality'!AT10</f>
        <v>53.61534812826585</v>
      </c>
      <c r="BG13" s="56">
        <f>'Health - Emissions'!AV12*'Economic Activity'!$C$3</f>
        <v>2.7804350552571844</v>
      </c>
      <c r="BH13" s="36"/>
      <c r="BI13" s="36"/>
      <c r="BJ13" s="36"/>
      <c r="BK13" s="56">
        <f>SUM(BB13:BJ13)</f>
        <v>24830.661677846099</v>
      </c>
      <c r="BL13" s="57">
        <f t="shared" si="23"/>
        <v>14451.700264266303</v>
      </c>
      <c r="BM13" s="28">
        <f>'Capital Cost'!H9</f>
        <v>0</v>
      </c>
      <c r="BN13" s="53">
        <f>'O&amp;M'!$F$10</f>
        <v>2683.1880000000001</v>
      </c>
      <c r="BO13" s="53"/>
      <c r="BP13" s="53">
        <f>SUM(BM13:BO13)</f>
        <v>2683.1880000000001</v>
      </c>
      <c r="BQ13" s="54">
        <f t="shared" si="1"/>
        <v>1561.6398452596563</v>
      </c>
      <c r="BR13" s="26"/>
      <c r="BS13" s="52">
        <f>('Safety and Crash Costs'!$V$17+'Safety and Crash Costs'!$V$33)/20</f>
        <v>127904.325</v>
      </c>
      <c r="BT13" s="55">
        <f>'Health - Emissions'!BR12</f>
        <v>0.11934370984286044</v>
      </c>
      <c r="BU13" s="36"/>
      <c r="BV13" s="56">
        <f>'Health - Emissions'!BS12</f>
        <v>8.5589157613291333E-2</v>
      </c>
      <c r="BW13" s="56">
        <f>'Health - Mortality'!AU10</f>
        <v>45.611417514168537</v>
      </c>
      <c r="BX13" s="56">
        <f>'Health - Emissions'!BJ12*'Economic Activity'!$C$3</f>
        <v>2.3653597076898731</v>
      </c>
      <c r="BY13" s="36"/>
      <c r="BZ13" s="36"/>
      <c r="CA13" s="36"/>
      <c r="CB13" s="56">
        <f>SUM(BS13:CA13)</f>
        <v>127952.50671008931</v>
      </c>
      <c r="CC13" s="57">
        <f t="shared" si="24"/>
        <v>74469.54860909206</v>
      </c>
      <c r="CD13" s="28">
        <f>'Capital Cost'!G9</f>
        <v>0</v>
      </c>
      <c r="CE13" s="53">
        <f>'O&amp;M'!$G$10</f>
        <v>4052.67</v>
      </c>
      <c r="CF13" s="53"/>
      <c r="CG13" s="53">
        <f>SUM(CD13:CF13)</f>
        <v>4052.67</v>
      </c>
      <c r="CH13" s="54">
        <f t="shared" si="2"/>
        <v>2358.6908377975942</v>
      </c>
      <c r="CI13" s="26"/>
      <c r="CJ13" s="52">
        <f>('Safety and Crash Costs'!$V$18+'Safety and Crash Costs'!$V$34)/20</f>
        <v>11114.924999999999</v>
      </c>
      <c r="CK13" s="55">
        <f>'Health - Emissions'!CF12</f>
        <v>6.1645790906857664E-2</v>
      </c>
      <c r="CL13" s="36"/>
      <c r="CM13" s="56">
        <f>'Health - Emissions'!CG12</f>
        <v>4.4210217036743833E-2</v>
      </c>
      <c r="CN13" s="56">
        <f>'Health - Mortality'!AV10</f>
        <v>23.560118172512365</v>
      </c>
      <c r="CO13" s="56">
        <f>'Health - Emissions'!BX12*'Economic Activity'!$C$3</f>
        <v>1.2218027255206783</v>
      </c>
      <c r="CP13" s="36"/>
      <c r="CQ13" s="36"/>
      <c r="CR13" s="36"/>
      <c r="CS13" s="56">
        <f>SUM(CJ13:CR13)</f>
        <v>11139.812776905976</v>
      </c>
      <c r="CT13" s="57">
        <f t="shared" si="25"/>
        <v>6483.4852446542536</v>
      </c>
      <c r="CU13" s="28">
        <f>'Capital Cost'!F9</f>
        <v>0</v>
      </c>
      <c r="CV13" s="53">
        <f>'O&amp;M'!$H$10</f>
        <v>1817.1089999999999</v>
      </c>
      <c r="CW13" s="53"/>
      <c r="CX13" s="53">
        <f>SUM(CU13:CW13)</f>
        <v>1817.1089999999999</v>
      </c>
      <c r="CY13" s="54">
        <f t="shared" si="4"/>
        <v>1057.5739819870723</v>
      </c>
      <c r="CZ13" s="26"/>
      <c r="DA13" s="52">
        <f>('Safety and Crash Costs'!$V$19+'Safety and Crash Costs'!$V$35)/20</f>
        <v>437404.52500000002</v>
      </c>
      <c r="DB13" s="55">
        <f>'Health - Emissions'!CT12</f>
        <v>2.7190702274462648</v>
      </c>
      <c r="DC13" s="36"/>
      <c r="DD13" s="56">
        <f>'Health - Emissions'!CU12</f>
        <v>1.9500225907585067</v>
      </c>
      <c r="DE13" s="56">
        <f>'Health - Mortality'!AW10</f>
        <v>1039.1888064959137</v>
      </c>
      <c r="DF13" s="56">
        <f>'Health - Emissions'!CL12*'Economic Activity'!$C$3</f>
        <v>53.891228677648598</v>
      </c>
      <c r="DG13" s="36"/>
      <c r="DH13" s="36"/>
      <c r="DI13" s="36"/>
      <c r="DJ13" s="56">
        <f>SUM(DA13:DI13)</f>
        <v>438502.27412799181</v>
      </c>
      <c r="DK13" s="57">
        <f t="shared" si="26"/>
        <v>255212.87985048347</v>
      </c>
      <c r="DL13" s="28">
        <f>'Capital Cost'!E9</f>
        <v>0</v>
      </c>
      <c r="DM13" s="53">
        <f>'O&amp;M'!$I$10</f>
        <v>12625.473</v>
      </c>
      <c r="DN13" s="53"/>
      <c r="DO13" s="53">
        <f>SUM(DL13:DN13)</f>
        <v>12625.473</v>
      </c>
      <c r="DP13" s="54">
        <f t="shared" si="5"/>
        <v>7348.1402354400698</v>
      </c>
      <c r="DQ13" s="26"/>
      <c r="DR13" s="52">
        <f>('Safety and Crash Costs'!$V$20+'Safety and Crash Costs'!$V$36)/20</f>
        <v>338656.9</v>
      </c>
      <c r="DS13" s="55">
        <f>'Health - Emissions'!DH12</f>
        <v>0.99296005141122412</v>
      </c>
      <c r="DT13" s="36"/>
      <c r="DU13" s="56">
        <f>'Health - Emissions'!DI12</f>
        <v>0.71211641112748014</v>
      </c>
      <c r="DV13" s="56">
        <f>'Health - Mortality'!AX10</f>
        <v>379.49478476445256</v>
      </c>
      <c r="DW13" s="56">
        <f>'Health - Emissions'!CZ12*'Economic Activity'!$C$3</f>
        <v>19.680196803386721</v>
      </c>
      <c r="DX13" s="36"/>
      <c r="DY13" s="36"/>
      <c r="DZ13" s="36"/>
      <c r="EA13" s="56">
        <f>SUM(DR13:DZ13)</f>
        <v>339057.78005803045</v>
      </c>
      <c r="EB13" s="57">
        <f t="shared" si="27"/>
        <v>197334.92090742756</v>
      </c>
      <c r="EC13" s="28">
        <f>'Capital Cost'!K9</f>
        <v>0</v>
      </c>
      <c r="ED13" s="53">
        <f>'O&amp;M'!$J$10</f>
        <v>6594.4049999999997</v>
      </c>
      <c r="EE13" s="53"/>
      <c r="EF13" s="53">
        <f>SUM(EC13:EE13)</f>
        <v>6594.4049999999997</v>
      </c>
      <c r="EG13" s="54">
        <f t="shared" si="7"/>
        <v>3838.0037491892122</v>
      </c>
      <c r="EH13" s="26"/>
      <c r="EI13" s="52">
        <f>('Safety and Crash Costs'!$V$21+'Safety and Crash Costs'!$V$37)/20</f>
        <v>143994.92499999999</v>
      </c>
      <c r="EJ13" s="55">
        <f>'Health - Emissions'!DV12</f>
        <v>0.38775782919433077</v>
      </c>
      <c r="EK13" s="36"/>
      <c r="EL13" s="56">
        <f>'Health - Emissions'!DW12</f>
        <v>0.27808642786787552</v>
      </c>
      <c r="EM13" s="56">
        <f>'Health - Mortality'!AY10</f>
        <v>148.19536165800127</v>
      </c>
      <c r="EN13" s="56">
        <f>'Health - Emissions'!DN12*'Economic Activity'!$C$3</f>
        <v>7.685254184952182</v>
      </c>
      <c r="EO13" s="36"/>
      <c r="EP13" s="36"/>
      <c r="EQ13" s="36"/>
      <c r="ER13" s="56">
        <f>SUM(EI13:EQ13)</f>
        <v>144151.4714601</v>
      </c>
      <c r="ES13" s="57">
        <f t="shared" si="28"/>
        <v>83897.549247249583</v>
      </c>
      <c r="ET13" s="28">
        <f>'Capital Cost'!J9</f>
        <v>0</v>
      </c>
      <c r="EU13" s="53">
        <f>'O&amp;M'!$K$10</f>
        <v>6250.6319999999996</v>
      </c>
      <c r="EV13" s="53"/>
      <c r="EW13" s="53">
        <f>SUM(ET13:EV13)</f>
        <v>6250.6319999999996</v>
      </c>
      <c r="EX13" s="54">
        <f t="shared" si="8"/>
        <v>3637.9247332855753</v>
      </c>
      <c r="EY13" s="26"/>
      <c r="EZ13" s="52">
        <f>('Safety and Crash Costs'!$V$22+'Safety and Crash Costs'!$V$38)/20</f>
        <v>212730</v>
      </c>
      <c r="FA13" s="55">
        <f>'Health - Emissions'!EJ12</f>
        <v>0.64081733200294955</v>
      </c>
      <c r="FB13" s="36"/>
      <c r="FC13" s="56">
        <f>'Health - Emissions'!EK12</f>
        <v>0.45957190121160307</v>
      </c>
      <c r="FD13" s="56">
        <f>'Health - Mortality'!AZ10</f>
        <v>244.9109963046003</v>
      </c>
      <c r="FE13" s="56">
        <f>'Health - Emissions'!EB12*'Economic Activity'!$C$3</f>
        <v>12.700824359364251</v>
      </c>
      <c r="FF13" s="36"/>
      <c r="FG13" s="36"/>
      <c r="FH13" s="36"/>
      <c r="FI13" s="56">
        <f>SUM(EZ13:FH13)</f>
        <v>212988.71220989717</v>
      </c>
      <c r="FJ13" s="57">
        <f t="shared" si="30"/>
        <v>123961.50258134074</v>
      </c>
      <c r="FK13" s="28">
        <f>'Capital Cost'!L9</f>
        <v>0</v>
      </c>
      <c r="FL13" s="53">
        <f>'O&amp;M'!$L$10</f>
        <v>7062.8190000000004</v>
      </c>
      <c r="FM13" s="53"/>
      <c r="FN13" s="53">
        <f>SUM(FK13:FM13)</f>
        <v>7062.8190000000004</v>
      </c>
      <c r="FO13" s="54">
        <f t="shared" si="10"/>
        <v>4110.6249618949405</v>
      </c>
      <c r="FP13" s="26"/>
      <c r="FQ13" s="52">
        <f>('Safety and Crash Costs'!$V$23+'Safety and Crash Costs'!$V$39)/20</f>
        <v>36292.275000000001</v>
      </c>
      <c r="FR13" s="55">
        <f>'Health - Emissions'!EX12</f>
        <v>9.2645897746557765E-2</v>
      </c>
      <c r="FS13" s="36"/>
      <c r="FT13" s="56">
        <f>'Health - Emissions'!EY12</f>
        <v>6.6442415397474544E-2</v>
      </c>
      <c r="FU13" s="56">
        <f>'Health - Mortality'!BA10</f>
        <v>35.407904854451026</v>
      </c>
      <c r="FV13" s="56">
        <f>'Health - Emissions'!EP12*'Economic Activity'!$C$3</f>
        <v>1.8362163695179747</v>
      </c>
      <c r="FW13" s="36"/>
      <c r="FX13" s="36"/>
      <c r="FY13" s="36"/>
      <c r="FZ13" s="56">
        <f>SUM(FQ13:FY13)</f>
        <v>36329.678209537116</v>
      </c>
      <c r="GA13" s="57">
        <f t="shared" si="31"/>
        <v>21144.2226986399</v>
      </c>
      <c r="GB13" s="28">
        <f>'Capital Cost'!M9</f>
        <v>0</v>
      </c>
      <c r="GC13" s="53">
        <f>'O&amp;M'!$M$10</f>
        <v>2523.1620000000003</v>
      </c>
      <c r="GD13" s="53"/>
      <c r="GE13" s="53">
        <f>SUM(GB13:GD13)</f>
        <v>2523.1620000000003</v>
      </c>
      <c r="GF13" s="54">
        <f t="shared" si="11"/>
        <v>1468.5032562925317</v>
      </c>
      <c r="GG13" s="26"/>
      <c r="GH13" s="52">
        <f>('Safety and Crash Costs'!$V$24+'Safety and Crash Costs'!$V$40)/20</f>
        <v>43497.4</v>
      </c>
      <c r="GI13" s="55">
        <f>'Health - Emissions'!FL12</f>
        <v>0.43960730284166682</v>
      </c>
      <c r="GJ13" s="36"/>
      <c r="GK13" s="56">
        <f>'Health - Emissions'!FM12</f>
        <v>0.3152710669075971</v>
      </c>
      <c r="GL13" s="56">
        <f>'Health - Mortality'!BB10</f>
        <v>168.01147089017132</v>
      </c>
      <c r="GM13" s="56">
        <f>'Health - Emissions'!FD12*'Economic Activity'!$C$3</f>
        <v>8.71289658011335</v>
      </c>
      <c r="GN13" s="36"/>
      <c r="GO13" s="36"/>
      <c r="GP13" s="36"/>
      <c r="GQ13" s="56">
        <f>SUM(GH13:GP13)</f>
        <v>43674.879245840042</v>
      </c>
      <c r="GR13" s="57">
        <f t="shared" si="33"/>
        <v>25419.268536469193</v>
      </c>
      <c r="GS13" s="28">
        <f>'Capital Cost'!N9</f>
        <v>0</v>
      </c>
      <c r="GT13" s="53">
        <f>'O&amp;M'!$N$10</f>
        <v>4541.6970000000001</v>
      </c>
      <c r="GU13" s="53"/>
      <c r="GV13" s="53">
        <f>SUM(GS13:GU13)</f>
        <v>4541.6970000000001</v>
      </c>
      <c r="GW13" s="54">
        <f t="shared" si="13"/>
        <v>2643.3090041757214</v>
      </c>
      <c r="GX13" s="26"/>
      <c r="GY13" s="52">
        <f>('Safety and Crash Costs'!$V$25+'Safety and Crash Costs'!$V$41)/20</f>
        <v>95168.4</v>
      </c>
      <c r="GZ13" s="55">
        <f>'Health - Emissions'!FZ12</f>
        <v>0.26192317124728393</v>
      </c>
      <c r="HA13" s="36"/>
      <c r="HB13" s="56">
        <f>'Health - Emissions'!GA12</f>
        <v>0.18784218804639405</v>
      </c>
      <c r="HC13" s="56">
        <f>'Health - Mortality'!BC10</f>
        <v>100.10319887093424</v>
      </c>
      <c r="HD13" s="56">
        <f>'Health - Emissions'!FR12*'Economic Activity'!$C$3</f>
        <v>5.1912456600723251</v>
      </c>
      <c r="HE13" s="36"/>
      <c r="HF13" s="36"/>
      <c r="HG13" s="36"/>
      <c r="HH13" s="56">
        <f>SUM(GY13:HG13)</f>
        <v>95274.144209890277</v>
      </c>
      <c r="HI13" s="57">
        <f t="shared" si="35"/>
        <v>55450.473682698284</v>
      </c>
      <c r="HJ13" s="28">
        <f>'Capital Cost'!O9</f>
        <v>0</v>
      </c>
      <c r="HK13" s="53">
        <f>'O&amp;M'!$O$10</f>
        <v>5217.3509999999997</v>
      </c>
      <c r="HL13" s="53"/>
      <c r="HM13" s="53">
        <f>SUM(HJ13:HL13)</f>
        <v>5217.3509999999997</v>
      </c>
      <c r="HN13" s="54">
        <f t="shared" si="15"/>
        <v>3036.5457837115077</v>
      </c>
      <c r="HO13" s="26"/>
      <c r="HP13" s="52">
        <f>('Safety and Crash Costs'!$V$26+'Safety and Crash Costs'!$V$42)/20</f>
        <v>142756.9</v>
      </c>
      <c r="HQ13" s="55">
        <f>'Health - Emissions'!GN12</f>
        <v>0.80038951636049349</v>
      </c>
      <c r="HR13" s="36"/>
      <c r="HS13" s="56">
        <f>'Health - Emissions'!GO12</f>
        <v>0.57401152149538681</v>
      </c>
      <c r="HT13" s="56">
        <f>'Health - Mortality'!BD10</f>
        <v>305.89714743031237</v>
      </c>
      <c r="HU13" s="56">
        <f>'Health - Emissions'!GF12*'Economic Activity'!$C$3</f>
        <v>15.863501435888658</v>
      </c>
      <c r="HV13" s="36"/>
      <c r="HW13" s="36"/>
      <c r="HX13" s="36"/>
      <c r="HY13" s="56">
        <f>SUM(HP13:HX13)</f>
        <v>143080.03504990408</v>
      </c>
      <c r="HZ13" s="57">
        <f t="shared" si="37"/>
        <v>83274.049081418532</v>
      </c>
      <c r="IA13" s="28">
        <f>'Capital Cost'!P9</f>
        <v>0</v>
      </c>
      <c r="IB13" s="53">
        <f>'O&amp;M'!$P$10</f>
        <v>10253.235000000001</v>
      </c>
      <c r="IC13" s="53"/>
      <c r="ID13" s="53">
        <f>SUM(IA13:IC13)</f>
        <v>10253.235000000001</v>
      </c>
      <c r="IE13" s="54">
        <f t="shared" si="17"/>
        <v>5967.4761212449121</v>
      </c>
      <c r="IF13" s="26"/>
      <c r="IG13" s="52">
        <f>('Safety and Crash Costs'!$V$27+'Safety and Crash Costs'!$V$43)/20</f>
        <v>137635.97500000001</v>
      </c>
      <c r="IH13" s="55">
        <f>'Health - Emissions'!HB12</f>
        <v>0.84168209049679588</v>
      </c>
      <c r="II13" s="36"/>
      <c r="IJ13" s="56">
        <f>'Health - Emissions'!HC12</f>
        <v>0.60362511940233954</v>
      </c>
      <c r="IK13" s="56">
        <f>'Health - Mortality'!BE10</f>
        <v>321.67856432815751</v>
      </c>
      <c r="IL13" s="56">
        <f>'Health - Emissions'!GT12*'Economic Activity'!$C$3</f>
        <v>16.681908968362812</v>
      </c>
      <c r="IM13" s="36"/>
      <c r="IN13" s="36"/>
      <c r="IO13" s="36"/>
      <c r="IP13" s="56">
        <f>SUM(IG13:IO13)</f>
        <v>137975.78078050644</v>
      </c>
      <c r="IQ13" s="57">
        <f t="shared" si="39"/>
        <v>80303.335188699362</v>
      </c>
      <c r="IR13" s="28">
        <f>'Capital Cost'!Q9</f>
        <v>0</v>
      </c>
      <c r="IS13" s="53">
        <f>'O&amp;M'!$Q$10</f>
        <v>9677.1810000000005</v>
      </c>
      <c r="IT13" s="53"/>
      <c r="IU13" s="53">
        <f>SUM(IR13:IT13)</f>
        <v>9677.1810000000005</v>
      </c>
      <c r="IV13" s="54">
        <f t="shared" si="19"/>
        <v>5632.2074485238036</v>
      </c>
      <c r="IW13" s="26"/>
    </row>
    <row r="14" spans="1:257" x14ac:dyDescent="0.3">
      <c r="A14">
        <v>9</v>
      </c>
      <c r="B14" s="34">
        <v>2030</v>
      </c>
      <c r="C14" s="52">
        <f>('Safety and Crash Costs'!$V$13+'Safety and Crash Costs'!$V$29)/20</f>
        <v>435297.07500000001</v>
      </c>
      <c r="D14" s="55">
        <f>'Health - Emissions'!N13</f>
        <v>5.8073370471561541</v>
      </c>
      <c r="E14" s="35"/>
      <c r="F14" s="56">
        <f>'Health - Emissions'!O13</f>
        <v>4.1016095419116789</v>
      </c>
      <c r="G14" s="56">
        <f>'Health - Mortality'!AQ11</f>
        <v>2151.187475915337</v>
      </c>
      <c r="H14" s="56">
        <f>'Health - Emissions'!F13*'Economic Activity'!$C$3</f>
        <v>111.55829957787653</v>
      </c>
      <c r="I14" s="35"/>
      <c r="J14" s="36"/>
      <c r="K14" s="36"/>
      <c r="L14" s="56">
        <f t="shared" si="40"/>
        <v>437569.72972208232</v>
      </c>
      <c r="M14" s="57">
        <f t="shared" ref="M14:M31" si="43">((L14-D14)/((1+$C$35)^$A14))+(D14/((1+$D$35)^$A14))</f>
        <v>238010.23276297512</v>
      </c>
      <c r="N14" s="28">
        <f>'Capital Cost'!C10</f>
        <v>0</v>
      </c>
      <c r="O14" s="53">
        <f>'O&amp;M'!$C$10</f>
        <v>12525.21</v>
      </c>
      <c r="P14" s="29"/>
      <c r="Q14" s="53">
        <f>SUM(N14:P14)</f>
        <v>12525.21</v>
      </c>
      <c r="R14" s="54">
        <f t="shared" si="41"/>
        <v>6812.8843519523962</v>
      </c>
      <c r="S14" s="26"/>
      <c r="T14" s="52">
        <f>('Safety and Crash Costs'!$V$14+'Safety and Crash Costs'!$V$30)/20</f>
        <v>181788.7</v>
      </c>
      <c r="U14" s="55">
        <f>'Health - Emissions'!AB13</f>
        <v>1.0583189311432251</v>
      </c>
      <c r="V14" s="35"/>
      <c r="W14" s="56">
        <f>'Health - Emissions'!AC13</f>
        <v>0.74747013839820309</v>
      </c>
      <c r="X14" s="56">
        <f>'Health - Mortality'!AR11</f>
        <v>392.02863751713551</v>
      </c>
      <c r="Y14" s="56">
        <f>'Health - Emissions'!T13*'Economic Activity'!$C$3</f>
        <v>20.330189105733051</v>
      </c>
      <c r="Z14" s="35"/>
      <c r="AA14" s="36"/>
      <c r="AB14" s="36"/>
      <c r="AC14" s="56">
        <f t="shared" ref="AC14:AC31" si="44">SUM(T14:AB14)</f>
        <v>182202.86461569241</v>
      </c>
      <c r="AD14" s="57">
        <f t="shared" si="21"/>
        <v>99106.521517926318</v>
      </c>
      <c r="AE14" s="28">
        <f>'Capital Cost'!D10</f>
        <v>0</v>
      </c>
      <c r="AF14" s="53">
        <f>'O&amp;M'!$D$10</f>
        <v>4532.2169999999996</v>
      </c>
      <c r="AG14" s="29"/>
      <c r="AH14" s="53">
        <f>SUM(AE14:AG14)</f>
        <v>4532.2169999999996</v>
      </c>
      <c r="AI14" s="54">
        <f t="shared" si="42"/>
        <v>2465.2257550134996</v>
      </c>
      <c r="AJ14" s="26"/>
      <c r="AK14" s="52">
        <f>('Safety and Crash Costs'!$V$15+'Safety and Crash Costs'!$V$31)/20</f>
        <v>164338.04999999999</v>
      </c>
      <c r="AL14" s="55">
        <f>'Health - Emissions'!AP13</f>
        <v>0.80425366568522638</v>
      </c>
      <c r="AM14" s="36"/>
      <c r="AN14" s="56">
        <f>'Health - Emissions'!AQ13</f>
        <v>0.56802876817824044</v>
      </c>
      <c r="AO14" s="56">
        <f>'Health - Mortality'!AS11</f>
        <v>297.91630811720972</v>
      </c>
      <c r="AP14" s="56">
        <f>'Health - Emissions'!AH13*'Economic Activity'!$C$3</f>
        <v>15.44962357868555</v>
      </c>
      <c r="AQ14" s="35"/>
      <c r="AR14" s="36"/>
      <c r="AS14" s="36"/>
      <c r="AT14" s="56">
        <f t="shared" ref="AT14" si="45">SUM(AK14:AS14)</f>
        <v>164652.78821412975</v>
      </c>
      <c r="AU14" s="57">
        <f t="shared" si="22"/>
        <v>89560.386252986762</v>
      </c>
      <c r="AV14" s="28">
        <f>'Capital Cost'!I10</f>
        <v>0</v>
      </c>
      <c r="AW14" s="53">
        <f>'O&amp;M'!$E$10</f>
        <v>8343.6509999999998</v>
      </c>
      <c r="AX14" s="29"/>
      <c r="AY14" s="53">
        <f>SUM(AV14:AX14)</f>
        <v>8343.6509999999998</v>
      </c>
      <c r="AZ14" s="54">
        <f t="shared" si="0"/>
        <v>4538.3933152459695</v>
      </c>
      <c r="BA14" s="26"/>
      <c r="BB14" s="52">
        <f>('Safety and Crash Costs'!$V$16+'Safety and Crash Costs'!$V$32)/20</f>
        <v>24774.025000000001</v>
      </c>
      <c r="BC14" s="55">
        <f>'Health - Emissions'!BD13</f>
        <v>0.29621425134534796</v>
      </c>
      <c r="BD14" s="36"/>
      <c r="BE14" s="56">
        <f>'Health - Emissions'!BE13</f>
        <v>0.20921038160911737</v>
      </c>
      <c r="BF14" s="56">
        <f>'Health - Mortality'!AT11</f>
        <v>109.72540124802856</v>
      </c>
      <c r="BG14" s="56">
        <f>'Health - Emissions'!AV13*'Economic Activity'!$C$3</f>
        <v>5.6902428638962705</v>
      </c>
      <c r="BH14" s="36"/>
      <c r="BI14" s="36"/>
      <c r="BJ14" s="36"/>
      <c r="BK14" s="56">
        <f t="shared" ref="BK14:BK31" si="46">SUM(BB14:BJ14)</f>
        <v>24889.946068744885</v>
      </c>
      <c r="BL14" s="57">
        <f t="shared" si="23"/>
        <v>13538.547420522254</v>
      </c>
      <c r="BM14" s="28">
        <f>'Capital Cost'!H10</f>
        <v>0</v>
      </c>
      <c r="BN14" s="53">
        <f>'O&amp;M'!$F$10</f>
        <v>2683.1880000000001</v>
      </c>
      <c r="BO14" s="29"/>
      <c r="BP14" s="53">
        <f>SUM(BM14:BO14)</f>
        <v>2683.1880000000001</v>
      </c>
      <c r="BQ14" s="54">
        <f t="shared" si="1"/>
        <v>1459.476490896875</v>
      </c>
      <c r="BR14" s="26"/>
      <c r="BS14" s="52">
        <f>('Safety and Crash Costs'!$V$17+'Safety and Crash Costs'!$V$33)/20</f>
        <v>127904.325</v>
      </c>
      <c r="BT14" s="55">
        <f>'Health - Emissions'!BR13</f>
        <v>0.25199410921360227</v>
      </c>
      <c r="BU14" s="36"/>
      <c r="BV14" s="56">
        <f>'Health - Emissions'!BS13</f>
        <v>0.17797855272791313</v>
      </c>
      <c r="BW14" s="56">
        <f>'Health - Mortality'!AU11</f>
        <v>93.345119689617817</v>
      </c>
      <c r="BX14" s="56">
        <f>'Health - Emissions'!BJ13*'Economic Activity'!$C$3</f>
        <v>4.8407788456634533</v>
      </c>
      <c r="BY14" s="36"/>
      <c r="BZ14" s="36"/>
      <c r="CA14" s="36"/>
      <c r="CB14" s="56">
        <f t="shared" ref="CB14:CB31" si="47">SUM(BS14:CA14)</f>
        <v>128002.94087119724</v>
      </c>
      <c r="CC14" s="57">
        <f t="shared" si="24"/>
        <v>69625.174754250533</v>
      </c>
      <c r="CD14" s="28">
        <f>'Capital Cost'!G10</f>
        <v>0</v>
      </c>
      <c r="CE14" s="53">
        <f>'O&amp;M'!$G$10</f>
        <v>4052.67</v>
      </c>
      <c r="CF14" s="29"/>
      <c r="CG14" s="53">
        <f>SUM(CD14:CF14)</f>
        <v>4052.67</v>
      </c>
      <c r="CH14" s="54">
        <f t="shared" si="2"/>
        <v>2204.383960558499</v>
      </c>
      <c r="CI14" s="26"/>
      <c r="CJ14" s="52">
        <f>('Safety and Crash Costs'!$V$18+'Safety and Crash Costs'!$V$34)/20</f>
        <v>11114.924999999999</v>
      </c>
      <c r="CK14" s="55">
        <f>'Health - Emissions'!CF13</f>
        <v>0.13016501822170287</v>
      </c>
      <c r="CL14" s="36"/>
      <c r="CM14" s="56">
        <f>'Health - Emissions'!CG13</f>
        <v>9.1933028241005493E-2</v>
      </c>
      <c r="CN14" s="56">
        <f>'Health - Mortality'!AV11</f>
        <v>48.216481104353868</v>
      </c>
      <c r="CO14" s="56">
        <f>'Health - Emissions'!BX13*'Economic Activity'!$C$3</f>
        <v>2.5004555408829585</v>
      </c>
      <c r="CP14" s="36"/>
      <c r="CQ14" s="36"/>
      <c r="CR14" s="36"/>
      <c r="CS14" s="56">
        <f t="shared" ref="CS14:CS31" si="48">SUM(CJ14:CR14)</f>
        <v>11165.864034691698</v>
      </c>
      <c r="CT14" s="57">
        <f t="shared" si="25"/>
        <v>6073.519173078007</v>
      </c>
      <c r="CU14" s="28">
        <f>'Capital Cost'!F10</f>
        <v>0</v>
      </c>
      <c r="CV14" s="53">
        <f>'O&amp;M'!$H$10</f>
        <v>1817.1089999999999</v>
      </c>
      <c r="CW14" s="29"/>
      <c r="CX14" s="53">
        <f>SUM(CU14:CW14)</f>
        <v>1817.1089999999999</v>
      </c>
      <c r="CY14" s="54">
        <f t="shared" si="4"/>
        <v>988.38689905333854</v>
      </c>
      <c r="CZ14" s="26"/>
      <c r="DA14" s="52">
        <f>('Safety and Crash Costs'!$V$19+'Safety and Crash Costs'!$V$35)/20</f>
        <v>437404.52500000002</v>
      </c>
      <c r="DB14" s="55">
        <f>'Health - Emissions'!CT13</f>
        <v>5.7413137295357606</v>
      </c>
      <c r="DC14" s="36"/>
      <c r="DD14" s="56">
        <f>'Health - Emissions'!CU13</f>
        <v>4.0549785529848208</v>
      </c>
      <c r="DE14" s="56">
        <f>'Health - Mortality'!AW11</f>
        <v>2126.7307356176607</v>
      </c>
      <c r="DF14" s="56">
        <f>'Health - Emissions'!CL13*'Economic Activity'!$C$3</f>
        <v>110.28999898047482</v>
      </c>
      <c r="DG14" s="36"/>
      <c r="DH14" s="36"/>
      <c r="DI14" s="36"/>
      <c r="DJ14" s="56">
        <f t="shared" ref="DJ14:DJ31" si="49">SUM(DA14:DI14)</f>
        <v>439651.34202688071</v>
      </c>
      <c r="DK14" s="57">
        <f t="shared" si="26"/>
        <v>239142.47724546824</v>
      </c>
      <c r="DL14" s="28">
        <f>'Capital Cost'!E10</f>
        <v>0</v>
      </c>
      <c r="DM14" s="53">
        <f>'O&amp;M'!$I$10</f>
        <v>12625.473</v>
      </c>
      <c r="DN14" s="29"/>
      <c r="DO14" s="53">
        <f>SUM(DL14:DN14)</f>
        <v>12625.473</v>
      </c>
      <c r="DP14" s="54">
        <f t="shared" si="5"/>
        <v>6867.4207807851108</v>
      </c>
      <c r="DQ14" s="26"/>
      <c r="DR14" s="52">
        <f>('Safety and Crash Costs'!$V$20+'Safety and Crash Costs'!$V$36)/20</f>
        <v>338656.9</v>
      </c>
      <c r="DS14" s="55">
        <f>'Health - Emissions'!DH13</f>
        <v>2.0966340326568327</v>
      </c>
      <c r="DT14" s="36"/>
      <c r="DU14" s="56">
        <f>'Health - Emissions'!DI13</f>
        <v>1.4808119598384992</v>
      </c>
      <c r="DV14" s="56">
        <f>'Health - Mortality'!AX11</f>
        <v>776.64734042566215</v>
      </c>
      <c r="DW14" s="56">
        <f>'Health - Emissions'!CZ13*'Economic Activity'!$C$3</f>
        <v>40.276106866371961</v>
      </c>
      <c r="DX14" s="36"/>
      <c r="DY14" s="36"/>
      <c r="DZ14" s="36"/>
      <c r="EA14" s="56">
        <f t="shared" ref="EA14:EA31" si="50">SUM(DR14:DZ14)</f>
        <v>339477.40089328453</v>
      </c>
      <c r="EB14" s="57">
        <f t="shared" si="27"/>
        <v>184653.67965603145</v>
      </c>
      <c r="EC14" s="28">
        <f>'Capital Cost'!K10</f>
        <v>0</v>
      </c>
      <c r="ED14" s="53">
        <f>'O&amp;M'!$J$10</f>
        <v>6594.4049999999997</v>
      </c>
      <c r="EE14" s="29"/>
      <c r="EF14" s="53">
        <f>SUM(EC14:EE14)</f>
        <v>6594.4049999999997</v>
      </c>
      <c r="EG14" s="54">
        <f t="shared" si="7"/>
        <v>3586.9193917656185</v>
      </c>
      <c r="EH14" s="26"/>
      <c r="EI14" s="52">
        <f>('Safety and Crash Costs'!$V$21+'Safety and Crash Costs'!$V$37)/20</f>
        <v>143994.92499999999</v>
      </c>
      <c r="EJ14" s="55">
        <f>'Health - Emissions'!DV13</f>
        <v>0.81875022057788571</v>
      </c>
      <c r="EK14" s="36"/>
      <c r="EL14" s="56">
        <f>'Health - Emissions'!DW13</f>
        <v>0.57826740378519137</v>
      </c>
      <c r="EM14" s="56">
        <f>'Health - Mortality'!AY11</f>
        <v>303.28620607143284</v>
      </c>
      <c r="EN14" s="56">
        <f>'Health - Emissions'!DN13*'Economic Activity'!$C$3</f>
        <v>15.728100787848806</v>
      </c>
      <c r="EO14" s="36"/>
      <c r="EP14" s="36"/>
      <c r="EQ14" s="36"/>
      <c r="ER14" s="56">
        <f t="shared" ref="ER14:ER31" si="51">SUM(EI14:EQ14)</f>
        <v>144315.33632448365</v>
      </c>
      <c r="ES14" s="57">
        <f t="shared" si="28"/>
        <v>78498.163157263363</v>
      </c>
      <c r="ET14" s="28">
        <f>'Capital Cost'!J10</f>
        <v>0</v>
      </c>
      <c r="EU14" s="53">
        <f>'O&amp;M'!$K$10</f>
        <v>6250.6319999999996</v>
      </c>
      <c r="EV14" s="29"/>
      <c r="EW14" s="53">
        <f>SUM(ET14:EV14)</f>
        <v>6250.6319999999996</v>
      </c>
      <c r="EX14" s="54">
        <f t="shared" si="8"/>
        <v>3399.9296572762382</v>
      </c>
      <c r="EY14" s="26"/>
      <c r="EZ14" s="52">
        <f>('Safety and Crash Costs'!$V$22+'Safety and Crash Costs'!$V$38)/20</f>
        <v>212730</v>
      </c>
      <c r="FA14" s="55">
        <f>'Health - Emissions'!EJ13</f>
        <v>1.3530850763676048</v>
      </c>
      <c r="FB14" s="36"/>
      <c r="FC14" s="56">
        <f>'Health - Emissions'!EK13</f>
        <v>0.95565775073540871</v>
      </c>
      <c r="FD14" s="56">
        <f>'Health - Mortality'!AZ11</f>
        <v>501.217622895734</v>
      </c>
      <c r="FE14" s="56">
        <f>'Health - Emissions'!EB13*'Economic Activity'!$C$3</f>
        <v>25.992614011905879</v>
      </c>
      <c r="FF14" s="36"/>
      <c r="FG14" s="36"/>
      <c r="FH14" s="36"/>
      <c r="FI14" s="56">
        <f t="shared" ref="FI14:FI31" si="52">SUM(EZ14:FH14)</f>
        <v>213259.51897973474</v>
      </c>
      <c r="FJ14" s="57">
        <f t="shared" si="30"/>
        <v>115999.34933875545</v>
      </c>
      <c r="FK14" s="28">
        <f>'Capital Cost'!L10</f>
        <v>0</v>
      </c>
      <c r="FL14" s="53">
        <f>'O&amp;M'!$L$10</f>
        <v>7062.8190000000004</v>
      </c>
      <c r="FM14" s="29"/>
      <c r="FN14" s="53">
        <f>SUM(FK14:FM14)</f>
        <v>7062.8190000000004</v>
      </c>
      <c r="FO14" s="54">
        <f t="shared" si="10"/>
        <v>3841.7055718644297</v>
      </c>
      <c r="FP14" s="26"/>
      <c r="FQ14" s="52">
        <f>('Safety and Crash Costs'!$V$23+'Safety and Crash Costs'!$V$39)/20</f>
        <v>36292.275000000001</v>
      </c>
      <c r="FR14" s="55">
        <f>'Health - Emissions'!EX13</f>
        <v>0.19562170897551423</v>
      </c>
      <c r="FS14" s="36"/>
      <c r="FT14" s="56">
        <f>'Health - Emissions'!EY13</f>
        <v>0.13816381959988966</v>
      </c>
      <c r="FU14" s="56">
        <f>'Health - Mortality'!BA11</f>
        <v>72.46332819125</v>
      </c>
      <c r="FV14" s="56">
        <f>'Health - Emissions'!EP13*'Economic Activity'!$C$3</f>
        <v>3.7578712991203775</v>
      </c>
      <c r="FW14" s="36"/>
      <c r="FX14" s="36"/>
      <c r="FY14" s="36"/>
      <c r="FZ14" s="56">
        <f t="shared" ref="FZ14:FZ31" si="53">SUM(FQ14:FY14)</f>
        <v>36368.829985018951</v>
      </c>
      <c r="GA14" s="57">
        <f t="shared" si="31"/>
        <v>19782.277329660617</v>
      </c>
      <c r="GB14" s="28">
        <f>'Capital Cost'!M10</f>
        <v>0</v>
      </c>
      <c r="GC14" s="53">
        <f>'O&amp;M'!$M$10</f>
        <v>2523.1620000000003</v>
      </c>
      <c r="GD14" s="29"/>
      <c r="GE14" s="53">
        <f>SUM(GB14:GD14)</f>
        <v>2523.1620000000003</v>
      </c>
      <c r="GF14" s="54">
        <f t="shared" si="11"/>
        <v>1372.4329498061043</v>
      </c>
      <c r="GG14" s="26"/>
      <c r="GH14" s="52">
        <f>('Safety and Crash Costs'!$V$24+'Safety and Crash Costs'!$V$40)/20</f>
        <v>43497.4</v>
      </c>
      <c r="GI14" s="55">
        <f>'Health - Emissions'!FL13</f>
        <v>0.92823032591530708</v>
      </c>
      <c r="GJ14" s="36"/>
      <c r="GK14" s="56">
        <f>'Health - Emissions'!FM13</f>
        <v>0.65559107917292514</v>
      </c>
      <c r="GL14" s="56">
        <f>'Health - Mortality'!BB11</f>
        <v>343.84046175719197</v>
      </c>
      <c r="GM14" s="56">
        <f>'Health - Emissions'!FD13*'Economic Activity'!$C$3</f>
        <v>17.83120144997249</v>
      </c>
      <c r="GN14" s="36"/>
      <c r="GO14" s="36"/>
      <c r="GP14" s="36"/>
      <c r="GQ14" s="56">
        <f t="shared" ref="GQ14:GQ31" si="54">SUM(GH14:GP14)</f>
        <v>43860.65548461226</v>
      </c>
      <c r="GR14" s="57">
        <f t="shared" si="33"/>
        <v>23857.497005397181</v>
      </c>
      <c r="GS14" s="28">
        <f>'Capital Cost'!N10</f>
        <v>0</v>
      </c>
      <c r="GT14" s="53">
        <f>'O&amp;M'!$N$10</f>
        <v>4541.6970000000001</v>
      </c>
      <c r="GU14" s="29"/>
      <c r="GV14" s="53">
        <f>SUM(GS14:GU14)</f>
        <v>4541.6970000000001</v>
      </c>
      <c r="GW14" s="54">
        <f t="shared" si="13"/>
        <v>2470.3822468931971</v>
      </c>
      <c r="GX14" s="26"/>
      <c r="GY14" s="52">
        <f>('Safety and Crash Costs'!$V$25+'Safety and Crash Costs'!$V$41)/20</f>
        <v>95168.4</v>
      </c>
      <c r="GZ14" s="55">
        <f>'Health - Emissions'!FZ13</f>
        <v>0.55305048173688531</v>
      </c>
      <c r="HA14" s="36"/>
      <c r="HB14" s="56">
        <f>'Health - Emissions'!GA13</f>
        <v>0.39060883062774709</v>
      </c>
      <c r="HC14" s="56">
        <f>'Health - Mortality'!BC11</f>
        <v>204.86416755230925</v>
      </c>
      <c r="HD14" s="56">
        <f>'Health - Emissions'!FR13*'Economic Activity'!$C$3</f>
        <v>10.624038319509197</v>
      </c>
      <c r="HE14" s="36"/>
      <c r="HF14" s="36"/>
      <c r="HG14" s="36"/>
      <c r="HH14" s="56">
        <f t="shared" ref="HH14:HH31" si="55">SUM(GY14:HG14)</f>
        <v>95384.831865184184</v>
      </c>
      <c r="HI14" s="57">
        <f t="shared" si="35"/>
        <v>51883.151626513994</v>
      </c>
      <c r="HJ14" s="28">
        <f>'Capital Cost'!O10</f>
        <v>0</v>
      </c>
      <c r="HK14" s="53">
        <f>'O&amp;M'!$O$10</f>
        <v>5217.3509999999997</v>
      </c>
      <c r="HL14" s="29"/>
      <c r="HM14" s="53">
        <f>SUM(HJ14:HL14)</f>
        <v>5217.3509999999997</v>
      </c>
      <c r="HN14" s="54">
        <f t="shared" si="15"/>
        <v>2837.893255805147</v>
      </c>
      <c r="HO14" s="26"/>
      <c r="HP14" s="52">
        <f>('Safety and Crash Costs'!$V$26+'Safety and Crash Costs'!$V$42)/20</f>
        <v>142756.9</v>
      </c>
      <c r="HQ14" s="55">
        <f>'Health - Emissions'!GN13</f>
        <v>1.6900215643098251</v>
      </c>
      <c r="HR14" s="36"/>
      <c r="HS14" s="56">
        <f>'Health - Emissions'!GO13</f>
        <v>1.1936294583769991</v>
      </c>
      <c r="HT14" s="56">
        <f>'Health - Mortality'!BD11</f>
        <v>626.02759124347165</v>
      </c>
      <c r="HU14" s="56">
        <f>'Health - Emissions'!GF13*'Economic Activity'!$C$3</f>
        <v>32.465126517268843</v>
      </c>
      <c r="HV14" s="36"/>
      <c r="HW14" s="36"/>
      <c r="HX14" s="36"/>
      <c r="HY14" s="56">
        <f t="shared" ref="HY14:HY31" si="56">SUM(HP14:HX14)</f>
        <v>143418.27636878341</v>
      </c>
      <c r="HZ14" s="57">
        <f t="shared" si="37"/>
        <v>78010.415821290415</v>
      </c>
      <c r="IA14" s="28">
        <f>'Capital Cost'!P10</f>
        <v>0</v>
      </c>
      <c r="IB14" s="53">
        <f>'O&amp;M'!$P$10</f>
        <v>10253.235000000001</v>
      </c>
      <c r="IC14" s="29"/>
      <c r="ID14" s="53">
        <f>SUM(IA14:IC14)</f>
        <v>10253.235000000001</v>
      </c>
      <c r="IE14" s="54">
        <f t="shared" si="17"/>
        <v>5577.0804871447772</v>
      </c>
      <c r="IF14" s="26"/>
      <c r="IG14" s="52">
        <f>('Safety and Crash Costs'!$V$27+'Safety and Crash Costs'!$V$43)/20</f>
        <v>137635.97500000001</v>
      </c>
      <c r="IH14" s="55">
        <f>'Health - Emissions'!HB13</f>
        <v>1.7772107881936348</v>
      </c>
      <c r="II14" s="36"/>
      <c r="IJ14" s="56">
        <f>'Health - Emissions'!HC13</f>
        <v>1.2552095164535026</v>
      </c>
      <c r="IK14" s="56">
        <f>'Health - Mortality'!BE11</f>
        <v>658.32472931736345</v>
      </c>
      <c r="IL14" s="56">
        <f>'Health - Emissions'!GT13*'Economic Activity'!$C$3</f>
        <v>34.140021822812663</v>
      </c>
      <c r="IM14" s="36"/>
      <c r="IN14" s="36"/>
      <c r="IO14" s="36"/>
      <c r="IP14" s="56">
        <f t="shared" ref="IP14:IP31" si="57">SUM(IG14:IO14)</f>
        <v>138331.47217144482</v>
      </c>
      <c r="IQ14" s="57">
        <f t="shared" si="39"/>
        <v>75243.550774558491</v>
      </c>
      <c r="IR14" s="28">
        <f>'Capital Cost'!Q10</f>
        <v>0</v>
      </c>
      <c r="IS14" s="53">
        <f>'O&amp;M'!$Q$10</f>
        <v>9677.1810000000005</v>
      </c>
      <c r="IT14" s="29"/>
      <c r="IU14" s="53">
        <f>SUM(IR14:IT14)</f>
        <v>9677.1810000000005</v>
      </c>
      <c r="IV14" s="54">
        <f t="shared" si="19"/>
        <v>5263.7452789942081</v>
      </c>
      <c r="IW14" s="26"/>
    </row>
    <row r="15" spans="1:257" x14ac:dyDescent="0.3">
      <c r="A15">
        <v>10</v>
      </c>
      <c r="B15" s="34">
        <v>2031</v>
      </c>
      <c r="C15" s="52">
        <f>('Safety and Crash Costs'!$V$13+'Safety and Crash Costs'!$V$29)/20</f>
        <v>435297.07500000001</v>
      </c>
      <c r="D15" s="55">
        <f>'Health - Emissions'!N14</f>
        <v>9.0515426454925034</v>
      </c>
      <c r="E15" s="35"/>
      <c r="F15" s="56">
        <f>'Health - Emissions'!O14</f>
        <v>6.2960664838653297</v>
      </c>
      <c r="G15" s="56">
        <f>'Health - Mortality'!AQ12</f>
        <v>3302.1230395589555</v>
      </c>
      <c r="H15" s="56">
        <f>'Health - Emissions'!F14*'Economic Activity'!$C$3</f>
        <v>171.24459649123776</v>
      </c>
      <c r="I15" s="35"/>
      <c r="J15" s="36"/>
      <c r="K15" s="36"/>
      <c r="L15" s="56">
        <f t="shared" si="40"/>
        <v>438785.79024517955</v>
      </c>
      <c r="M15" s="57">
        <f t="shared" si="43"/>
        <v>223058.57972241618</v>
      </c>
      <c r="N15" s="28">
        <f>'Capital Cost'!C11</f>
        <v>0</v>
      </c>
      <c r="O15" s="53">
        <f>'O&amp;M'!$C$10</f>
        <v>12525.21</v>
      </c>
      <c r="P15" s="29"/>
      <c r="Q15" s="53">
        <f t="shared" ref="Q15:Q31" si="58">SUM(N15:P15)</f>
        <v>12525.21</v>
      </c>
      <c r="R15" s="54">
        <f t="shared" si="41"/>
        <v>6367.1816373386882</v>
      </c>
      <c r="S15" s="26"/>
      <c r="T15" s="52">
        <f>('Safety and Crash Costs'!$V$14+'Safety and Crash Costs'!$V$30)/20</f>
        <v>181788.7</v>
      </c>
      <c r="U15" s="55">
        <f>'Health - Emissions'!AB14</f>
        <v>1.6495372767223795</v>
      </c>
      <c r="V15" s="35"/>
      <c r="W15" s="56">
        <f>'Health - Emissions'!AC14</f>
        <v>1.1473841276138819</v>
      </c>
      <c r="X15" s="56">
        <f>'Health - Mortality'!AR12</f>
        <v>601.77311861738815</v>
      </c>
      <c r="Y15" s="56">
        <f>'Health - Emissions'!T14*'Economic Activity'!$C$3</f>
        <v>31.20731530666168</v>
      </c>
      <c r="Z15" s="35"/>
      <c r="AA15" s="36"/>
      <c r="AB15" s="36"/>
      <c r="AC15" s="56">
        <f>SUM(T15:AB15)</f>
        <v>182424.47735532839</v>
      </c>
      <c r="AD15" s="57">
        <f t="shared" si="21"/>
        <v>92735.742801170069</v>
      </c>
      <c r="AE15" s="28">
        <f>'Capital Cost'!D11</f>
        <v>0</v>
      </c>
      <c r="AF15" s="53">
        <f>'O&amp;M'!$D$10</f>
        <v>4532.2169999999996</v>
      </c>
      <c r="AG15" s="29"/>
      <c r="AH15" s="53">
        <f t="shared" ref="AH15:AH31" si="59">SUM(AE15:AG15)</f>
        <v>4532.2169999999996</v>
      </c>
      <c r="AI15" s="54">
        <f t="shared" si="42"/>
        <v>2303.9493037509342</v>
      </c>
      <c r="AJ15" s="26"/>
      <c r="AK15" s="52">
        <f>('Safety and Crash Costs'!$V$15+'Safety and Crash Costs'!$V$31)/20</f>
        <v>164338.04999999999</v>
      </c>
      <c r="AL15" s="55">
        <f>'Health - Emissions'!AP14</f>
        <v>1.2535412175376281</v>
      </c>
      <c r="AM15" s="36"/>
      <c r="AN15" s="56">
        <f>'Health - Emissions'!AQ14</f>
        <v>0.87193743155070402</v>
      </c>
      <c r="AO15" s="56">
        <f>'Health - Mortality'!AS12</f>
        <v>457.30849398683466</v>
      </c>
      <c r="AP15" s="56">
        <f>'Health - Emissions'!AH14*'Economic Activity'!$C$3</f>
        <v>23.715533184750967</v>
      </c>
      <c r="AQ15" s="35"/>
      <c r="AR15" s="36"/>
      <c r="AS15" s="36"/>
      <c r="AT15" s="56">
        <f>SUM(AK15:AS15)</f>
        <v>164821.19950582067</v>
      </c>
      <c r="AU15" s="57">
        <f t="shared" si="22"/>
        <v>83787.035613180473</v>
      </c>
      <c r="AV15" s="28">
        <f>'Capital Cost'!I11</f>
        <v>0</v>
      </c>
      <c r="AW15" s="53">
        <f>'O&amp;M'!$E$10</f>
        <v>8343.6509999999998</v>
      </c>
      <c r="AX15" s="29"/>
      <c r="AY15" s="53">
        <f t="shared" ref="AY15:AY31" si="60">SUM(AV15:AX15)</f>
        <v>8343.6509999999998</v>
      </c>
      <c r="AZ15" s="54">
        <f t="shared" si="0"/>
        <v>4241.4890796691298</v>
      </c>
      <c r="BA15" s="26"/>
      <c r="BB15" s="52">
        <f>('Safety and Crash Costs'!$V$16+'Safety and Crash Costs'!$V$32)/20</f>
        <v>24774.025000000001</v>
      </c>
      <c r="BC15" s="55">
        <f>'Health - Emissions'!BD14</f>
        <v>0.46169111702721549</v>
      </c>
      <c r="BD15" s="36"/>
      <c r="BE15" s="56">
        <f>'Health - Emissions'!BE14</f>
        <v>0.32114282411970374</v>
      </c>
      <c r="BF15" s="56">
        <f>'Health - Mortality'!AT12</f>
        <v>168.43105472794525</v>
      </c>
      <c r="BG15" s="56">
        <f>'Health - Emissions'!AV14*'Economic Activity'!$C$3</f>
        <v>8.7346557526617623</v>
      </c>
      <c r="BH15" s="36"/>
      <c r="BI15" s="36"/>
      <c r="BJ15" s="36"/>
      <c r="BK15" s="56">
        <f t="shared" si="46"/>
        <v>24951.973544421755</v>
      </c>
      <c r="BL15" s="57">
        <f t="shared" si="23"/>
        <v>12684.42692986922</v>
      </c>
      <c r="BM15" s="28">
        <f>'Capital Cost'!H11</f>
        <v>0</v>
      </c>
      <c r="BN15" s="53">
        <f>'O&amp;M'!$F$10</f>
        <v>2683.1880000000001</v>
      </c>
      <c r="BO15" s="29"/>
      <c r="BP15" s="53">
        <f t="shared" ref="BP15:BP31" si="61">SUM(BM15:BO15)</f>
        <v>2683.1880000000001</v>
      </c>
      <c r="BQ15" s="54">
        <f t="shared" si="1"/>
        <v>1363.9967204643692</v>
      </c>
      <c r="BR15" s="26"/>
      <c r="BS15" s="52">
        <f>('Safety and Crash Costs'!$V$17+'Safety and Crash Costs'!$V$33)/20</f>
        <v>127904.325</v>
      </c>
      <c r="BT15" s="55">
        <f>'Health - Emissions'!BR14</f>
        <v>0.39276787405972746</v>
      </c>
      <c r="BU15" s="36"/>
      <c r="BV15" s="56">
        <f>'Health - Emissions'!BS14</f>
        <v>0.27320123703310872</v>
      </c>
      <c r="BW15" s="56">
        <f>'Health - Mortality'!AU12</f>
        <v>143.28693979882885</v>
      </c>
      <c r="BX15" s="56">
        <f>'Health - Emissions'!BJ14*'Economic Activity'!$C$3</f>
        <v>7.4307086363420307</v>
      </c>
      <c r="BY15" s="36"/>
      <c r="BZ15" s="36"/>
      <c r="CA15" s="36"/>
      <c r="CB15" s="56">
        <f t="shared" si="47"/>
        <v>128055.70861754626</v>
      </c>
      <c r="CC15" s="57">
        <f t="shared" si="24"/>
        <v>65097.121422453631</v>
      </c>
      <c r="CD15" s="28">
        <f>'Capital Cost'!G11</f>
        <v>0</v>
      </c>
      <c r="CE15" s="53">
        <f>'O&amp;M'!$G$10</f>
        <v>4052.67</v>
      </c>
      <c r="CF15" s="29"/>
      <c r="CG15" s="53">
        <f t="shared" ref="CG15:CG31" si="62">SUM(CD15:CF15)</f>
        <v>4052.67</v>
      </c>
      <c r="CH15" s="54">
        <f t="shared" si="2"/>
        <v>2060.1719257556069</v>
      </c>
      <c r="CI15" s="26"/>
      <c r="CJ15" s="52">
        <f>('Safety and Crash Costs'!$V$18+'Safety and Crash Costs'!$V$34)/20</f>
        <v>11114.924999999999</v>
      </c>
      <c r="CK15" s="55">
        <f>'Health - Emissions'!CF14</f>
        <v>0.20288028812827583</v>
      </c>
      <c r="CL15" s="36"/>
      <c r="CM15" s="56">
        <f>'Health - Emissions'!CG14</f>
        <v>0.14111934643068536</v>
      </c>
      <c r="CN15" s="56">
        <f>'Health - Mortality'!AV12</f>
        <v>74.013425107636678</v>
      </c>
      <c r="CO15" s="56">
        <f>'Health - Emissions'!BX14*'Economic Activity'!$C$3</f>
        <v>3.8382576801815751</v>
      </c>
      <c r="CP15" s="36"/>
      <c r="CQ15" s="36"/>
      <c r="CR15" s="36"/>
      <c r="CS15" s="56">
        <f t="shared" si="48"/>
        <v>11193.120682422375</v>
      </c>
      <c r="CT15" s="57">
        <f t="shared" si="25"/>
        <v>5690.0628036248745</v>
      </c>
      <c r="CU15" s="28">
        <f>'Capital Cost'!F11</f>
        <v>0</v>
      </c>
      <c r="CV15" s="53">
        <f>'O&amp;M'!$H$10</f>
        <v>1817.1089999999999</v>
      </c>
      <c r="CW15" s="29"/>
      <c r="CX15" s="53">
        <f t="shared" ref="CX15:CX31" si="63">SUM(CU15:CW15)</f>
        <v>1817.1089999999999</v>
      </c>
      <c r="CY15" s="54">
        <f t="shared" si="4"/>
        <v>923.72607388162487</v>
      </c>
      <c r="CZ15" s="26"/>
      <c r="DA15" s="52">
        <f>('Safety and Crash Costs'!$V$19+'Safety and Crash Costs'!$V$35)/20</f>
        <v>437404.52500000002</v>
      </c>
      <c r="DB15" s="55">
        <f>'Health - Emissions'!CT14</f>
        <v>8.9486361204905478</v>
      </c>
      <c r="DC15" s="36"/>
      <c r="DD15" s="56">
        <f>'Health - Emissions'!CU14</f>
        <v>6.224486826296296</v>
      </c>
      <c r="DE15" s="56">
        <f>'Health - Mortality'!AW12</f>
        <v>3264.5813717528472</v>
      </c>
      <c r="DF15" s="56">
        <f>'Health - Emissions'!CL14*'Economic Activity'!$C$3</f>
        <v>169.29772543947834</v>
      </c>
      <c r="DG15" s="36"/>
      <c r="DH15" s="36"/>
      <c r="DI15" s="36"/>
      <c r="DJ15" s="56">
        <f t="shared" si="49"/>
        <v>440853.57722013909</v>
      </c>
      <c r="DK15" s="57">
        <f t="shared" si="26"/>
        <v>224109.71350776232</v>
      </c>
      <c r="DL15" s="28">
        <f>'Capital Cost'!E11</f>
        <v>0</v>
      </c>
      <c r="DM15" s="53">
        <f>'O&amp;M'!$I$10</f>
        <v>12625.473</v>
      </c>
      <c r="DN15" s="29"/>
      <c r="DO15" s="53">
        <f t="shared" ref="DO15:DO31" si="64">SUM(DL15:DN15)</f>
        <v>12625.473</v>
      </c>
      <c r="DP15" s="54">
        <f t="shared" si="5"/>
        <v>6418.1502624159921</v>
      </c>
      <c r="DQ15" s="26"/>
      <c r="DR15" s="52">
        <f>('Safety and Crash Costs'!$V$20+'Safety and Crash Costs'!$V$36)/20</f>
        <v>338656.9</v>
      </c>
      <c r="DS15" s="55">
        <f>'Health - Emissions'!DH14</f>
        <v>3.2678958022382432</v>
      </c>
      <c r="DT15" s="36"/>
      <c r="DU15" s="56">
        <f>'Health - Emissions'!DI14</f>
        <v>2.2730809585791785</v>
      </c>
      <c r="DV15" s="56">
        <f>'Health - Mortality'!AX12</f>
        <v>1192.1718144721567</v>
      </c>
      <c r="DW15" s="56">
        <f>'Health - Emissions'!CZ14*'Economic Activity'!$C$3</f>
        <v>61.824765119829898</v>
      </c>
      <c r="DX15" s="36"/>
      <c r="DY15" s="36"/>
      <c r="DZ15" s="36"/>
      <c r="EA15" s="56">
        <f t="shared" si="50"/>
        <v>339916.43755635282</v>
      </c>
      <c r="EB15" s="57">
        <f t="shared" si="27"/>
        <v>172797.05080559009</v>
      </c>
      <c r="EC15" s="28">
        <f>'Capital Cost'!K11</f>
        <v>0</v>
      </c>
      <c r="ED15" s="53">
        <f>'O&amp;M'!$J$10</f>
        <v>6594.4049999999997</v>
      </c>
      <c r="EE15" s="29"/>
      <c r="EF15" s="53">
        <f t="shared" ref="EF15:EF31" si="65">SUM(EC15:EE15)</f>
        <v>6594.4049999999997</v>
      </c>
      <c r="EG15" s="54">
        <f t="shared" si="7"/>
        <v>3352.2611137996437</v>
      </c>
      <c r="EH15" s="26"/>
      <c r="EI15" s="52">
        <f>('Safety and Crash Costs'!$V$21+'Safety and Crash Costs'!$V$37)/20</f>
        <v>143994.92499999999</v>
      </c>
      <c r="EJ15" s="55">
        <f>'Health - Emissions'!DV14</f>
        <v>1.2761361149507007</v>
      </c>
      <c r="EK15" s="36"/>
      <c r="EL15" s="56">
        <f>'Health - Emissions'!DW14</f>
        <v>0.88765397644039357</v>
      </c>
      <c r="EM15" s="56">
        <f>'Health - Mortality'!AY12</f>
        <v>465.55141281806112</v>
      </c>
      <c r="EN15" s="56">
        <f>'Health - Emissions'!DN14*'Economic Activity'!$C$3</f>
        <v>24.143002207635082</v>
      </c>
      <c r="EO15" s="36"/>
      <c r="EP15" s="36"/>
      <c r="EQ15" s="36"/>
      <c r="ER15" s="56">
        <f t="shared" si="51"/>
        <v>144486.78320511707</v>
      </c>
      <c r="ES15" s="57">
        <f t="shared" si="28"/>
        <v>73450.054807370703</v>
      </c>
      <c r="ET15" s="28">
        <f>'Capital Cost'!J11</f>
        <v>0</v>
      </c>
      <c r="EU15" s="53">
        <f>'O&amp;M'!$K$10</f>
        <v>6250.6319999999996</v>
      </c>
      <c r="EV15" s="29"/>
      <c r="EW15" s="53">
        <f t="shared" ref="EW15:EW31" si="66">SUM(ET15:EV15)</f>
        <v>6250.6319999999996</v>
      </c>
      <c r="EX15" s="54">
        <f t="shared" si="8"/>
        <v>3177.5043525946153</v>
      </c>
      <c r="EY15" s="26"/>
      <c r="EZ15" s="52">
        <f>('Safety and Crash Costs'!$V$22+'Safety and Crash Costs'!$V$38)/20</f>
        <v>212730</v>
      </c>
      <c r="FA15" s="55">
        <f>'Health - Emissions'!EJ14</f>
        <v>2.108971318914314</v>
      </c>
      <c r="FB15" s="36"/>
      <c r="FC15" s="56">
        <f>'Health - Emissions'!EK14</f>
        <v>1.4669569770034698</v>
      </c>
      <c r="FD15" s="56">
        <f>'Health - Mortality'!AZ12</f>
        <v>769.38076245201978</v>
      </c>
      <c r="FE15" s="56">
        <f>'Health - Emissions'!EB14*'Economic Activity'!$C$3</f>
        <v>39.89926984423159</v>
      </c>
      <c r="FF15" s="36"/>
      <c r="FG15" s="36"/>
      <c r="FH15" s="36"/>
      <c r="FI15" s="56">
        <f t="shared" si="52"/>
        <v>213542.85596059219</v>
      </c>
      <c r="FJ15" s="57">
        <f t="shared" si="30"/>
        <v>108554.85684664104</v>
      </c>
      <c r="FK15" s="28">
        <f>'Capital Cost'!L11</f>
        <v>0</v>
      </c>
      <c r="FL15" s="53">
        <f>'O&amp;M'!$L$10</f>
        <v>7062.8190000000004</v>
      </c>
      <c r="FM15" s="29"/>
      <c r="FN15" s="53">
        <f t="shared" ref="FN15:FN31" si="67">SUM(FK15:FM15)</f>
        <v>7062.8190000000004</v>
      </c>
      <c r="FO15" s="54">
        <f t="shared" si="10"/>
        <v>3590.3790391256357</v>
      </c>
      <c r="FP15" s="26"/>
      <c r="FQ15" s="52">
        <f>('Safety and Crash Costs'!$V$23+'Safety and Crash Costs'!$V$39)/20</f>
        <v>36292.275000000001</v>
      </c>
      <c r="FR15" s="55">
        <f>'Health - Emissions'!EX14</f>
        <v>0.30490364633530104</v>
      </c>
      <c r="FS15" s="36"/>
      <c r="FT15" s="56">
        <f>'Health - Emissions'!EY14</f>
        <v>0.21208469138196989</v>
      </c>
      <c r="FU15" s="56">
        <f>'Health - Mortality'!BA12</f>
        <v>111.23290193088965</v>
      </c>
      <c r="FV15" s="56">
        <f>'Health - Emissions'!EP14*'Economic Activity'!$C$3</f>
        <v>5.768420249491597</v>
      </c>
      <c r="FW15" s="36"/>
      <c r="FX15" s="36"/>
      <c r="FY15" s="36"/>
      <c r="FZ15" s="56">
        <f t="shared" si="53"/>
        <v>36409.7933105181</v>
      </c>
      <c r="GA15" s="57">
        <f t="shared" si="31"/>
        <v>18508.964535568346</v>
      </c>
      <c r="GB15" s="28">
        <f>'Capital Cost'!M11</f>
        <v>0</v>
      </c>
      <c r="GC15" s="53">
        <f>'O&amp;M'!$M$10</f>
        <v>2523.1620000000003</v>
      </c>
      <c r="GD15" s="29"/>
      <c r="GE15" s="53">
        <f t="shared" ref="GE15:GE31" si="68">SUM(GB15:GD15)</f>
        <v>2523.1620000000003</v>
      </c>
      <c r="GF15" s="54">
        <f t="shared" si="11"/>
        <v>1282.647616641219</v>
      </c>
      <c r="GG15" s="26"/>
      <c r="GH15" s="52">
        <f>('Safety and Crash Costs'!$V$24+'Safety and Crash Costs'!$V$40)/20</f>
        <v>43497.4</v>
      </c>
      <c r="GI15" s="55">
        <f>'Health - Emissions'!FL14</f>
        <v>1.4467760888747117</v>
      </c>
      <c r="GJ15" s="36"/>
      <c r="GK15" s="56">
        <f>'Health - Emissions'!FM14</f>
        <v>1.0063476248833616</v>
      </c>
      <c r="GL15" s="56">
        <f>'Health - Mortality'!BB12</f>
        <v>527.80314287479518</v>
      </c>
      <c r="GM15" s="56">
        <f>'Health - Emissions'!FD14*'Economic Activity'!$C$3</f>
        <v>27.371310864441128</v>
      </c>
      <c r="GN15" s="36"/>
      <c r="GO15" s="36"/>
      <c r="GP15" s="36"/>
      <c r="GQ15" s="56">
        <f t="shared" si="54"/>
        <v>44055.027577452995</v>
      </c>
      <c r="GR15" s="57">
        <f t="shared" si="33"/>
        <v>22395.683153656995</v>
      </c>
      <c r="GS15" s="28">
        <f>'Capital Cost'!N11</f>
        <v>0</v>
      </c>
      <c r="GT15" s="53">
        <f>'O&amp;M'!$N$10</f>
        <v>4541.6970000000001</v>
      </c>
      <c r="GU15" s="29"/>
      <c r="GV15" s="53">
        <f t="shared" ref="GV15:GV31" si="69">SUM(GS15:GU15)</f>
        <v>4541.6970000000001</v>
      </c>
      <c r="GW15" s="54">
        <f t="shared" si="13"/>
        <v>2308.7684550403715</v>
      </c>
      <c r="GX15" s="26"/>
      <c r="GY15" s="52">
        <f>('Safety and Crash Costs'!$V$25+'Safety and Crash Costs'!$V$41)/20</f>
        <v>95168.4</v>
      </c>
      <c r="GZ15" s="55">
        <f>'Health - Emissions'!FZ14</f>
        <v>0.86200611052926601</v>
      </c>
      <c r="HA15" s="36"/>
      <c r="HB15" s="56">
        <f>'Health - Emissions'!GA14</f>
        <v>0.5995936818673766</v>
      </c>
      <c r="HC15" s="56">
        <f>'Health - Mortality'!BC12</f>
        <v>314.47128399011319</v>
      </c>
      <c r="HD15" s="56">
        <f>'Health - Emissions'!FR14*'Economic Activity'!$C$3</f>
        <v>16.308147058675615</v>
      </c>
      <c r="HE15" s="36"/>
      <c r="HF15" s="36"/>
      <c r="HG15" s="36"/>
      <c r="HH15" s="56">
        <f t="shared" si="55"/>
        <v>95500.641030841187</v>
      </c>
      <c r="HI15" s="57">
        <f t="shared" si="35"/>
        <v>48547.886479745248</v>
      </c>
      <c r="HJ15" s="28">
        <f>'Capital Cost'!O11</f>
        <v>0</v>
      </c>
      <c r="HK15" s="53">
        <f>'O&amp;M'!$O$10</f>
        <v>5217.3509999999997</v>
      </c>
      <c r="HL15" s="29"/>
      <c r="HM15" s="53">
        <f t="shared" ref="HM15:HM31" si="70">SUM(HJ15:HL15)</f>
        <v>5217.3509999999997</v>
      </c>
      <c r="HN15" s="54">
        <f t="shared" si="15"/>
        <v>2652.2366876683618</v>
      </c>
      <c r="HO15" s="26"/>
      <c r="HP15" s="52">
        <f>('Safety and Crash Costs'!$V$26+'Safety and Crash Costs'!$V$42)/20</f>
        <v>142756.9</v>
      </c>
      <c r="HQ15" s="55">
        <f>'Health - Emissions'!GN14</f>
        <v>2.6341337065399761</v>
      </c>
      <c r="HR15" s="36"/>
      <c r="HS15" s="56">
        <f>'Health - Emissions'!GO14</f>
        <v>1.8322491086119062</v>
      </c>
      <c r="HT15" s="56">
        <f>'Health - Mortality'!BD12</f>
        <v>960.96698013968239</v>
      </c>
      <c r="HU15" s="56">
        <f>'Health - Emissions'!GF14*'Economic Activity'!$C$3</f>
        <v>49.834727774832565</v>
      </c>
      <c r="HV15" s="36"/>
      <c r="HW15" s="36"/>
      <c r="HX15" s="36"/>
      <c r="HY15" s="56">
        <f t="shared" si="56"/>
        <v>143772.16809072968</v>
      </c>
      <c r="HZ15" s="57">
        <f t="shared" si="37"/>
        <v>73087.100860453051</v>
      </c>
      <c r="IA15" s="28">
        <f>'Capital Cost'!P11</f>
        <v>0</v>
      </c>
      <c r="IB15" s="53">
        <f>'O&amp;M'!$P$10</f>
        <v>10253.235000000001</v>
      </c>
      <c r="IC15" s="29"/>
      <c r="ID15" s="53">
        <f t="shared" ref="ID15:ID31" si="71">SUM(IA15:IC15)</f>
        <v>10253.235000000001</v>
      </c>
      <c r="IE15" s="54">
        <f t="shared" si="17"/>
        <v>5212.2247543409139</v>
      </c>
      <c r="IF15" s="26"/>
      <c r="IG15" s="52">
        <f>('Safety and Crash Costs'!$V$27+'Safety and Crash Costs'!$V$43)/20</f>
        <v>137635.97500000001</v>
      </c>
      <c r="IH15" s="55">
        <f>'Health - Emissions'!HB14</f>
        <v>2.7700302408384534</v>
      </c>
      <c r="II15" s="36"/>
      <c r="IJ15" s="56">
        <f>'Health - Emissions'!HC14</f>
        <v>1.9267759366212931</v>
      </c>
      <c r="IK15" s="56">
        <f>'Health - Mortality'!BE12</f>
        <v>1010.5438417287602</v>
      </c>
      <c r="IL15" s="56">
        <f>'Health - Emissions'!GT14*'Economic Activity'!$C$3</f>
        <v>52.405731203965082</v>
      </c>
      <c r="IM15" s="36"/>
      <c r="IN15" s="36"/>
      <c r="IO15" s="36"/>
      <c r="IP15" s="56">
        <f t="shared" si="57"/>
        <v>138703.62137911021</v>
      </c>
      <c r="IQ15" s="57">
        <f t="shared" si="39"/>
        <v>70510.540764326754</v>
      </c>
      <c r="IR15" s="28">
        <f>'Capital Cost'!Q11</f>
        <v>0</v>
      </c>
      <c r="IS15" s="53">
        <f>'O&amp;M'!$Q$10</f>
        <v>9677.1810000000005</v>
      </c>
      <c r="IT15" s="29"/>
      <c r="IU15" s="53">
        <f t="shared" ref="IU15:IU31" si="72">SUM(IR15:IT15)</f>
        <v>9677.1810000000005</v>
      </c>
      <c r="IV15" s="54">
        <f t="shared" si="19"/>
        <v>4919.3881112095405</v>
      </c>
      <c r="IW15" s="26"/>
    </row>
    <row r="16" spans="1:257" x14ac:dyDescent="0.3">
      <c r="A16">
        <v>11</v>
      </c>
      <c r="B16" s="34">
        <v>2032</v>
      </c>
      <c r="C16" s="52">
        <f>('Safety and Crash Costs'!$V$13+'Safety and Crash Costs'!$V$29)/20</f>
        <v>435297.07500000001</v>
      </c>
      <c r="D16" s="55">
        <f>'Health - Emissions'!N15</f>
        <v>12.538673915933707</v>
      </c>
      <c r="E16" s="35"/>
      <c r="F16" s="56">
        <f>'Health - Emissions'!O15</f>
        <v>8.5914693371683253</v>
      </c>
      <c r="G16" s="56">
        <f>'Health - Mortality'!AQ13</f>
        <v>4506.0021069711847</v>
      </c>
      <c r="H16" s="56">
        <f>'Health - Emissions'!F15*'Economic Activity'!$C$3</f>
        <v>233.6764873243516</v>
      </c>
      <c r="I16" s="35"/>
      <c r="J16" s="36"/>
      <c r="K16" s="36"/>
      <c r="L16" s="56">
        <f t="shared" si="40"/>
        <v>440057.88373754866</v>
      </c>
      <c r="M16" s="57">
        <f t="shared" si="43"/>
        <v>209071.43172843897</v>
      </c>
      <c r="N16" s="28">
        <f>'Capital Cost'!C12</f>
        <v>0</v>
      </c>
      <c r="O16" s="53">
        <f>'O&amp;M'!$C$10</f>
        <v>12525.21</v>
      </c>
      <c r="P16" s="29"/>
      <c r="Q16" s="53">
        <f t="shared" si="58"/>
        <v>12525.21</v>
      </c>
      <c r="R16" s="54">
        <f t="shared" si="41"/>
        <v>5950.6370442417638</v>
      </c>
      <c r="S16" s="26"/>
      <c r="T16" s="52">
        <f>('Safety and Crash Costs'!$V$14+'Safety and Crash Costs'!$V$30)/20</f>
        <v>181788.7</v>
      </c>
      <c r="U16" s="55">
        <f>'Health - Emissions'!AB15</f>
        <v>2.2850259712689964</v>
      </c>
      <c r="V16" s="35"/>
      <c r="W16" s="56">
        <f>'Health - Emissions'!AC15</f>
        <v>1.5656943228935507</v>
      </c>
      <c r="X16" s="56">
        <f>'Health - Mortality'!AR13</f>
        <v>821.16593110677809</v>
      </c>
      <c r="Y16" s="56">
        <f>'Health - Emissions'!T15*'Economic Activity'!$C$3</f>
        <v>42.5847937342497</v>
      </c>
      <c r="Z16" s="35"/>
      <c r="AA16" s="36"/>
      <c r="AB16" s="36"/>
      <c r="AC16" s="56">
        <f t="shared" si="44"/>
        <v>182656.30144513521</v>
      </c>
      <c r="AD16" s="57">
        <f t="shared" si="21"/>
        <v>86779.258183383994</v>
      </c>
      <c r="AE16" s="28">
        <f>'Capital Cost'!D12</f>
        <v>0</v>
      </c>
      <c r="AF16" s="53">
        <f>'O&amp;M'!$D$10</f>
        <v>4532.2169999999996</v>
      </c>
      <c r="AG16" s="29"/>
      <c r="AH16" s="53">
        <f t="shared" si="59"/>
        <v>4532.2169999999996</v>
      </c>
      <c r="AI16" s="54">
        <f t="shared" si="42"/>
        <v>2153.2236483653587</v>
      </c>
      <c r="AJ16" s="26"/>
      <c r="AK16" s="52">
        <f>('Safety and Crash Costs'!$V$15+'Safety and Crash Costs'!$V$31)/20</f>
        <v>164338.04999999999</v>
      </c>
      <c r="AL16" s="55">
        <f>'Health - Emissions'!AP15</f>
        <v>1.7364713599083552</v>
      </c>
      <c r="AM16" s="36"/>
      <c r="AN16" s="56">
        <f>'Health - Emissions'!AQ15</f>
        <v>1.1898260169733961</v>
      </c>
      <c r="AO16" s="56">
        <f>'Health - Mortality'!AS13</f>
        <v>624.03278519740525</v>
      </c>
      <c r="AP16" s="56">
        <f>'Health - Emissions'!AH15*'Economic Activity'!$C$3</f>
        <v>32.361677992684932</v>
      </c>
      <c r="AQ16" s="35"/>
      <c r="AR16" s="36"/>
      <c r="AS16" s="36"/>
      <c r="AT16" s="56">
        <f t="shared" ref="AT16:AT31" si="73">SUM(AK16:AS16)</f>
        <v>164997.37076056696</v>
      </c>
      <c r="AU16" s="57">
        <f t="shared" si="22"/>
        <v>78389.491750059562</v>
      </c>
      <c r="AV16" s="28">
        <f>'Capital Cost'!I12</f>
        <v>0</v>
      </c>
      <c r="AW16" s="53">
        <f>'O&amp;M'!$E$10</f>
        <v>8343.6509999999998</v>
      </c>
      <c r="AX16" s="29"/>
      <c r="AY16" s="53">
        <f t="shared" si="60"/>
        <v>8343.6509999999998</v>
      </c>
      <c r="AZ16" s="54">
        <f t="shared" si="0"/>
        <v>3964.0084856720837</v>
      </c>
      <c r="BA16" s="26"/>
      <c r="BB16" s="52">
        <f>('Safety and Crash Costs'!$V$16+'Safety and Crash Costs'!$V$32)/20</f>
        <v>24774.025000000001</v>
      </c>
      <c r="BC16" s="55">
        <f>'Health - Emissions'!BD15</f>
        <v>0.63955886781025795</v>
      </c>
      <c r="BD16" s="36"/>
      <c r="BE16" s="56">
        <f>'Health - Emissions'!BE15</f>
        <v>0.4382242044849245</v>
      </c>
      <c r="BF16" s="56">
        <f>'Health - Mortality'!AT13</f>
        <v>229.83719213105698</v>
      </c>
      <c r="BG16" s="56">
        <f>'Health - Emissions'!AV15*'Economic Activity'!$C$3</f>
        <v>11.919112871826483</v>
      </c>
      <c r="BH16" s="36"/>
      <c r="BI16" s="36"/>
      <c r="BJ16" s="36"/>
      <c r="BK16" s="56">
        <f t="shared" si="46"/>
        <v>25016.85908807518</v>
      </c>
      <c r="BL16" s="57">
        <f t="shared" si="23"/>
        <v>11885.487722110631</v>
      </c>
      <c r="BM16" s="28">
        <f>'Capital Cost'!H12</f>
        <v>0</v>
      </c>
      <c r="BN16" s="53">
        <f>'O&amp;M'!$F$10</f>
        <v>2683.1880000000001</v>
      </c>
      <c r="BO16" s="29"/>
      <c r="BP16" s="53">
        <f t="shared" si="61"/>
        <v>2683.1880000000001</v>
      </c>
      <c r="BQ16" s="54">
        <f t="shared" si="1"/>
        <v>1274.763290153616</v>
      </c>
      <c r="BR16" s="26"/>
      <c r="BS16" s="52">
        <f>('Safety and Crash Costs'!$V$17+'Safety and Crash Costs'!$V$33)/20</f>
        <v>127904.325</v>
      </c>
      <c r="BT16" s="55">
        <f>'Health - Emissions'!BR15</f>
        <v>0.54408275919043403</v>
      </c>
      <c r="BU16" s="36"/>
      <c r="BV16" s="56">
        <f>'Health - Emissions'!BS15</f>
        <v>0.37280420352318105</v>
      </c>
      <c r="BW16" s="56">
        <f>'Health - Mortality'!AU13</f>
        <v>195.52610393379288</v>
      </c>
      <c r="BX16" s="56">
        <f>'Health - Emissions'!BJ15*'Economic Activity'!$C$3</f>
        <v>10.139776250166095</v>
      </c>
      <c r="BY16" s="36"/>
      <c r="BZ16" s="36"/>
      <c r="CA16" s="36"/>
      <c r="CB16" s="56">
        <f t="shared" si="47"/>
        <v>128110.90776714668</v>
      </c>
      <c r="CC16" s="57">
        <f t="shared" si="24"/>
        <v>60864.703986007844</v>
      </c>
      <c r="CD16" s="28">
        <f>'Capital Cost'!G12</f>
        <v>0</v>
      </c>
      <c r="CE16" s="53">
        <f>'O&amp;M'!$G$10</f>
        <v>4052.67</v>
      </c>
      <c r="CF16" s="29"/>
      <c r="CG16" s="53">
        <f t="shared" si="62"/>
        <v>4052.67</v>
      </c>
      <c r="CH16" s="54">
        <f t="shared" si="2"/>
        <v>1925.3943231360809</v>
      </c>
      <c r="CI16" s="26"/>
      <c r="CJ16" s="52">
        <f>('Safety and Crash Costs'!$V$18+'Safety and Crash Costs'!$V$34)/20</f>
        <v>11114.924999999999</v>
      </c>
      <c r="CK16" s="55">
        <f>'Health - Emissions'!CF15</f>
        <v>0.28104046751389022</v>
      </c>
      <c r="CL16" s="36"/>
      <c r="CM16" s="56">
        <f>'Health - Emissions'!CG15</f>
        <v>0.1925682552507178</v>
      </c>
      <c r="CN16" s="56">
        <f>'Health - Mortality'!AV13</f>
        <v>100.99703902120775</v>
      </c>
      <c r="CO16" s="56">
        <f>'Health - Emissions'!BX15*'Economic Activity'!$C$3</f>
        <v>5.237599261687877</v>
      </c>
      <c r="CP16" s="36"/>
      <c r="CQ16" s="36"/>
      <c r="CR16" s="36"/>
      <c r="CS16" s="56">
        <f t="shared" si="48"/>
        <v>11221.633247005659</v>
      </c>
      <c r="CT16" s="57">
        <f t="shared" si="25"/>
        <v>5331.3866286675402</v>
      </c>
      <c r="CU16" s="28">
        <f>'Capital Cost'!F12</f>
        <v>0</v>
      </c>
      <c r="CV16" s="53">
        <f>'O&amp;M'!$H$10</f>
        <v>1817.1089999999999</v>
      </c>
      <c r="CW16" s="29"/>
      <c r="CX16" s="53">
        <f t="shared" si="63"/>
        <v>1817.1089999999999</v>
      </c>
      <c r="CY16" s="54">
        <f t="shared" si="4"/>
        <v>863.29539615105114</v>
      </c>
      <c r="CZ16" s="26"/>
      <c r="DA16" s="52">
        <f>('Safety and Crash Costs'!$V$19+'Safety and Crash Costs'!$V$35)/20</f>
        <v>437404.52500000002</v>
      </c>
      <c r="DB16" s="55">
        <f>'Health - Emissions'!CT15</f>
        <v>12.396122374019066</v>
      </c>
      <c r="DC16" s="36"/>
      <c r="DD16" s="56">
        <f>'Health - Emissions'!CU15</f>
        <v>8.4937933620582804</v>
      </c>
      <c r="DE16" s="56">
        <f>'Health - Mortality'!AW13</f>
        <v>4454.7735996724095</v>
      </c>
      <c r="DF16" s="56">
        <f>'Health - Emissions'!CL15*'Economic Activity'!$C$3</f>
        <v>231.0198313015043</v>
      </c>
      <c r="DG16" s="36"/>
      <c r="DH16" s="36"/>
      <c r="DI16" s="36"/>
      <c r="DJ16" s="56">
        <f t="shared" si="49"/>
        <v>442111.20834671007</v>
      </c>
      <c r="DK16" s="57">
        <f t="shared" si="26"/>
        <v>210046.91620184071</v>
      </c>
      <c r="DL16" s="28">
        <f>'Capital Cost'!E12</f>
        <v>0</v>
      </c>
      <c r="DM16" s="53">
        <f>'O&amp;M'!$I$10</f>
        <v>12625.473</v>
      </c>
      <c r="DN16" s="29"/>
      <c r="DO16" s="53">
        <f t="shared" si="64"/>
        <v>12625.473</v>
      </c>
      <c r="DP16" s="54">
        <f t="shared" si="5"/>
        <v>5998.2712732859727</v>
      </c>
      <c r="DQ16" s="26"/>
      <c r="DR16" s="52">
        <f>('Safety and Crash Costs'!$V$20+'Safety and Crash Costs'!$V$36)/20</f>
        <v>338656.9</v>
      </c>
      <c r="DS16" s="55">
        <f>'Health - Emissions'!DH15</f>
        <v>4.5268614931531923</v>
      </c>
      <c r="DT16" s="36"/>
      <c r="DU16" s="56">
        <f>'Health - Emissions'!DI15</f>
        <v>3.1017946533094367</v>
      </c>
      <c r="DV16" s="56">
        <f>'Health - Mortality'!AX13</f>
        <v>1626.8105832303272</v>
      </c>
      <c r="DW16" s="56">
        <f>'Health - Emissions'!CZ15*'Economic Activity'!$C$3</f>
        <v>84.364670412208852</v>
      </c>
      <c r="DX16" s="36"/>
      <c r="DY16" s="36"/>
      <c r="DZ16" s="36"/>
      <c r="EA16" s="56">
        <f t="shared" si="50"/>
        <v>340375.70390978898</v>
      </c>
      <c r="EB16" s="57">
        <f t="shared" si="27"/>
        <v>161711.16461466809</v>
      </c>
      <c r="EC16" s="28">
        <f>'Capital Cost'!K12</f>
        <v>0</v>
      </c>
      <c r="ED16" s="53">
        <f>'O&amp;M'!$J$10</f>
        <v>6594.4049999999997</v>
      </c>
      <c r="EE16" s="29"/>
      <c r="EF16" s="53">
        <f t="shared" si="65"/>
        <v>6594.4049999999997</v>
      </c>
      <c r="EG16" s="54">
        <f t="shared" si="7"/>
        <v>3132.9543119622831</v>
      </c>
      <c r="EH16" s="26"/>
      <c r="EI16" s="52">
        <f>('Safety and Crash Costs'!$V$21+'Safety and Crash Costs'!$V$37)/20</f>
        <v>143994.92499999999</v>
      </c>
      <c r="EJ16" s="55">
        <f>'Health - Emissions'!DV15</f>
        <v>1.7677710026236877</v>
      </c>
      <c r="EK16" s="36"/>
      <c r="EL16" s="56">
        <f>'Health - Emissions'!DW15</f>
        <v>1.2112724571995337</v>
      </c>
      <c r="EM16" s="56">
        <f>'Health - Mortality'!AY13</f>
        <v>635.28088503382492</v>
      </c>
      <c r="EN16" s="56">
        <f>'Health - Emissions'!DN15*'Economic Activity'!$C$3</f>
        <v>32.944992513284411</v>
      </c>
      <c r="EO16" s="36"/>
      <c r="EP16" s="36"/>
      <c r="EQ16" s="36"/>
      <c r="ER16" s="56">
        <f t="shared" si="51"/>
        <v>144666.12992100694</v>
      </c>
      <c r="ES16" s="57">
        <f t="shared" si="28"/>
        <v>68730.273426856555</v>
      </c>
      <c r="ET16" s="28">
        <f>'Capital Cost'!J12</f>
        <v>0</v>
      </c>
      <c r="EU16" s="53">
        <f>'O&amp;M'!$K$10</f>
        <v>6250.6319999999996</v>
      </c>
      <c r="EV16" s="29"/>
      <c r="EW16" s="53">
        <f t="shared" si="66"/>
        <v>6250.6319999999996</v>
      </c>
      <c r="EX16" s="54">
        <f t="shared" si="8"/>
        <v>2969.6302360697332</v>
      </c>
      <c r="EY16" s="26"/>
      <c r="EZ16" s="52">
        <f>('Safety and Crash Costs'!$V$22+'Safety and Crash Costs'!$V$38)/20</f>
        <v>212730</v>
      </c>
      <c r="FA16" s="55">
        <f>'Health - Emissions'!EJ15</f>
        <v>2.9214582200628247</v>
      </c>
      <c r="FB16" s="36"/>
      <c r="FC16" s="56">
        <f>'Health - Emissions'!EK15</f>
        <v>2.0017761755166465</v>
      </c>
      <c r="FD16" s="56">
        <f>'Health - Mortality'!AZ13</f>
        <v>1049.8795154328802</v>
      </c>
      <c r="FE16" s="56">
        <f>'Health - Emissions'!EB15*'Economic Activity'!$C$3</f>
        <v>54.445637497727141</v>
      </c>
      <c r="FF16" s="36"/>
      <c r="FG16" s="36"/>
      <c r="FH16" s="36"/>
      <c r="FI16" s="56">
        <f t="shared" si="52"/>
        <v>213839.24838732617</v>
      </c>
      <c r="FJ16" s="57">
        <f t="shared" si="30"/>
        <v>101594.20905357609</v>
      </c>
      <c r="FK16" s="28">
        <f>'Capital Cost'!L12</f>
        <v>0</v>
      </c>
      <c r="FL16" s="53">
        <f>'O&amp;M'!$L$10</f>
        <v>7062.8190000000004</v>
      </c>
      <c r="FM16" s="29"/>
      <c r="FN16" s="53">
        <f t="shared" si="67"/>
        <v>7062.8190000000004</v>
      </c>
      <c r="FO16" s="54">
        <f t="shared" si="10"/>
        <v>3355.4944290893786</v>
      </c>
      <c r="FP16" s="26"/>
      <c r="FQ16" s="52">
        <f>('Safety and Crash Costs'!$V$23+'Safety and Crash Costs'!$V$39)/20</f>
        <v>36292.275000000001</v>
      </c>
      <c r="FR16" s="55">
        <f>'Health - Emissions'!EX15</f>
        <v>0.42236860023869466</v>
      </c>
      <c r="FS16" s="36"/>
      <c r="FT16" s="56">
        <f>'Health - Emissions'!EY15</f>
        <v>0.28940595331394187</v>
      </c>
      <c r="FU16" s="56">
        <f>'Health - Mortality'!BA13</f>
        <v>151.78589182190279</v>
      </c>
      <c r="FV16" s="56">
        <f>'Health - Emissions'!EP15*'Economic Activity'!$C$3</f>
        <v>7.8714552688430635</v>
      </c>
      <c r="FW16" s="36"/>
      <c r="FX16" s="36"/>
      <c r="FY16" s="36"/>
      <c r="FZ16" s="56">
        <f t="shared" si="53"/>
        <v>36452.644121644298</v>
      </c>
      <c r="GA16" s="57">
        <f t="shared" si="31"/>
        <v>17318.493095257501</v>
      </c>
      <c r="GB16" s="28">
        <f>'Capital Cost'!M12</f>
        <v>0</v>
      </c>
      <c r="GC16" s="53">
        <f>'O&amp;M'!$M$10</f>
        <v>2523.1620000000003</v>
      </c>
      <c r="GD16" s="29"/>
      <c r="GE16" s="53">
        <f t="shared" si="68"/>
        <v>2523.1620000000003</v>
      </c>
      <c r="GF16" s="54">
        <f t="shared" si="11"/>
        <v>1198.736090318896</v>
      </c>
      <c r="GG16" s="26"/>
      <c r="GH16" s="52">
        <f>('Safety and Crash Costs'!$V$24+'Safety and Crash Costs'!$V$40)/20</f>
        <v>43497.4</v>
      </c>
      <c r="GI16" s="55">
        <f>'Health - Emissions'!FL15</f>
        <v>2.0041504877407443</v>
      </c>
      <c r="GJ16" s="36"/>
      <c r="GK16" s="56">
        <f>'Health - Emissions'!FM15</f>
        <v>1.3732391142746567</v>
      </c>
      <c r="GL16" s="56">
        <f>'Health - Mortality'!BB13</f>
        <v>720.22818210235255</v>
      </c>
      <c r="GM16" s="56">
        <f>'Health - Emissions'!FD15*'Economic Activity'!$C$3</f>
        <v>37.350269189911295</v>
      </c>
      <c r="GN16" s="36"/>
      <c r="GO16" s="36"/>
      <c r="GP16" s="36"/>
      <c r="GQ16" s="56">
        <f t="shared" si="54"/>
        <v>44258.355840894277</v>
      </c>
      <c r="GR16" s="57">
        <f t="shared" si="33"/>
        <v>21027.321723461591</v>
      </c>
      <c r="GS16" s="28">
        <f>'Capital Cost'!N12</f>
        <v>0</v>
      </c>
      <c r="GT16" s="53">
        <f>'O&amp;M'!$N$10</f>
        <v>4541.6970000000001</v>
      </c>
      <c r="GU16" s="29"/>
      <c r="GV16" s="53">
        <f t="shared" si="69"/>
        <v>4541.6970000000001</v>
      </c>
      <c r="GW16" s="54">
        <f t="shared" si="13"/>
        <v>2157.7275280751132</v>
      </c>
      <c r="GX16" s="26"/>
      <c r="GY16" s="52">
        <f>('Safety and Crash Costs'!$V$25+'Safety and Crash Costs'!$V$41)/20</f>
        <v>95168.4</v>
      </c>
      <c r="GZ16" s="55">
        <f>'Health - Emissions'!FZ15</f>
        <v>1.1940962946079874</v>
      </c>
      <c r="HA16" s="36"/>
      <c r="HB16" s="56">
        <f>'Health - Emissions'!GA15</f>
        <v>0.81819192121377426</v>
      </c>
      <c r="HC16" s="56">
        <f>'Health - Mortality'!BC13</f>
        <v>429.12037233798679</v>
      </c>
      <c r="HD16" s="56">
        <f>'Health - Emissions'!FR15*'Economic Activity'!$C$3</f>
        <v>22.253727110363261</v>
      </c>
      <c r="HE16" s="36"/>
      <c r="HF16" s="36"/>
      <c r="HG16" s="36"/>
      <c r="HH16" s="56">
        <f t="shared" si="55"/>
        <v>95621.786387664164</v>
      </c>
      <c r="HI16" s="57">
        <f t="shared" si="35"/>
        <v>45429.517224513605</v>
      </c>
      <c r="HJ16" s="28">
        <f>'Capital Cost'!O12</f>
        <v>0</v>
      </c>
      <c r="HK16" s="53">
        <f>'O&amp;M'!$O$10</f>
        <v>5217.3509999999997</v>
      </c>
      <c r="HL16" s="29"/>
      <c r="HM16" s="53">
        <f t="shared" si="70"/>
        <v>5217.3509999999997</v>
      </c>
      <c r="HN16" s="54">
        <f t="shared" si="15"/>
        <v>2478.7258763255713</v>
      </c>
      <c r="HO16" s="26"/>
      <c r="HP16" s="52">
        <f>('Safety and Crash Costs'!$V$26+'Safety and Crash Costs'!$V$42)/20</f>
        <v>142756.9</v>
      </c>
      <c r="HQ16" s="55">
        <f>'Health - Emissions'!GN15</f>
        <v>3.6489408370320353</v>
      </c>
      <c r="HR16" s="36"/>
      <c r="HS16" s="56">
        <f>'Health - Emissions'!GO15</f>
        <v>2.5002455223485693</v>
      </c>
      <c r="HT16" s="56">
        <f>'Health - Mortality'!BD13</f>
        <v>1311.3137170738173</v>
      </c>
      <c r="HU16" s="56">
        <f>'Health - Emissions'!GF15*'Economic Activity'!$C$3</f>
        <v>68.003337750771237</v>
      </c>
      <c r="HV16" s="36"/>
      <c r="HW16" s="36"/>
      <c r="HX16" s="36"/>
      <c r="HY16" s="56">
        <f t="shared" si="56"/>
        <v>144142.36624118398</v>
      </c>
      <c r="HZ16" s="57">
        <f t="shared" si="37"/>
        <v>68481.902342439367</v>
      </c>
      <c r="IA16" s="28">
        <f>'Capital Cost'!P12</f>
        <v>0</v>
      </c>
      <c r="IB16" s="53">
        <f>'O&amp;M'!$P$10</f>
        <v>10253.235000000001</v>
      </c>
      <c r="IC16" s="29"/>
      <c r="ID16" s="53">
        <f t="shared" si="71"/>
        <v>10253.235000000001</v>
      </c>
      <c r="IE16" s="54">
        <f t="shared" si="17"/>
        <v>4871.2380881690769</v>
      </c>
      <c r="IF16" s="26"/>
      <c r="IG16" s="52">
        <f>('Safety and Crash Costs'!$V$27+'Safety and Crash Costs'!$V$43)/20</f>
        <v>137635.97500000001</v>
      </c>
      <c r="IH16" s="55">
        <f>'Health - Emissions'!HB15</f>
        <v>3.837191878496518</v>
      </c>
      <c r="II16" s="36"/>
      <c r="IJ16" s="56">
        <f>'Health - Emissions'!HC15</f>
        <v>2.6292346851002084</v>
      </c>
      <c r="IK16" s="56">
        <f>'Health - Mortality'!BE13</f>
        <v>1378.9651764837749</v>
      </c>
      <c r="IL16" s="56">
        <f>'Health - Emissions'!GT15*'Economic Activity'!$C$3</f>
        <v>71.511670641434463</v>
      </c>
      <c r="IM16" s="36"/>
      <c r="IN16" s="36"/>
      <c r="IO16" s="36"/>
      <c r="IP16" s="56">
        <f t="shared" si="57"/>
        <v>139092.91827368879</v>
      </c>
      <c r="IQ16" s="57">
        <f t="shared" si="39"/>
        <v>66082.992547192436</v>
      </c>
      <c r="IR16" s="28">
        <f>'Capital Cost'!Q12</f>
        <v>0</v>
      </c>
      <c r="IS16" s="53">
        <f>'O&amp;M'!$Q$10</f>
        <v>9677.1810000000005</v>
      </c>
      <c r="IT16" s="29"/>
      <c r="IU16" s="53">
        <f t="shared" si="72"/>
        <v>9677.1810000000005</v>
      </c>
      <c r="IV16" s="54">
        <f t="shared" si="19"/>
        <v>4597.5589824388226</v>
      </c>
      <c r="IW16" s="26"/>
    </row>
    <row r="17" spans="1:257" x14ac:dyDescent="0.3">
      <c r="A17">
        <v>12</v>
      </c>
      <c r="B17" s="34">
        <v>2033</v>
      </c>
      <c r="C17" s="52">
        <f>('Safety and Crash Costs'!$V$13+'Safety and Crash Costs'!$V$29)/20</f>
        <v>435297.07500000001</v>
      </c>
      <c r="D17" s="55">
        <f>'Health - Emissions'!N16</f>
        <v>16.281364241851449</v>
      </c>
      <c r="E17" s="35"/>
      <c r="F17" s="56">
        <f>'Health - Emissions'!O16</f>
        <v>10.991893670290118</v>
      </c>
      <c r="G17" s="56">
        <f>'Health - Mortality'!AQ14</f>
        <v>5764.9622077630547</v>
      </c>
      <c r="H17" s="56">
        <f>'Health - Emissions'!F16*'Economic Activity'!$C$3</f>
        <v>298.96482209441729</v>
      </c>
      <c r="I17" s="35"/>
      <c r="J17" s="36"/>
      <c r="K17" s="36"/>
      <c r="L17" s="56">
        <f t="shared" si="40"/>
        <v>441388.27528776962</v>
      </c>
      <c r="M17" s="57">
        <f t="shared" si="43"/>
        <v>195985.86319727681</v>
      </c>
      <c r="N17" s="28">
        <f>'Capital Cost'!C13</f>
        <v>0</v>
      </c>
      <c r="O17" s="53">
        <f>'O&amp;M'!$C$10</f>
        <v>12525.21</v>
      </c>
      <c r="P17" s="29"/>
      <c r="Q17" s="53">
        <f t="shared" si="58"/>
        <v>12525.21</v>
      </c>
      <c r="R17" s="54">
        <f t="shared" si="41"/>
        <v>5561.3430320016496</v>
      </c>
      <c r="S17" s="26"/>
      <c r="T17" s="52">
        <f>('Safety and Crash Costs'!$V$14+'Safety and Crash Costs'!$V$30)/20</f>
        <v>181788.7</v>
      </c>
      <c r="U17" s="55">
        <f>'Health - Emissions'!AB16</f>
        <v>2.967087300439653</v>
      </c>
      <c r="V17" s="35"/>
      <c r="W17" s="56">
        <f>'Health - Emissions'!AC16</f>
        <v>2.0031434486961701</v>
      </c>
      <c r="X17" s="56">
        <f>'Health - Mortality'!AR14</f>
        <v>1050.5966146374465</v>
      </c>
      <c r="Y17" s="56">
        <f>'Health - Emissions'!T16*'Economic Activity'!$C$3</f>
        <v>54.482825501462628</v>
      </c>
      <c r="Z17" s="35"/>
      <c r="AA17" s="36"/>
      <c r="AB17" s="36"/>
      <c r="AC17" s="56">
        <f t="shared" si="44"/>
        <v>182898.74967088806</v>
      </c>
      <c r="AD17" s="57">
        <f t="shared" si="21"/>
        <v>81209.995817141593</v>
      </c>
      <c r="AE17" s="28">
        <f>'Capital Cost'!D13</f>
        <v>0</v>
      </c>
      <c r="AF17" s="53">
        <f>'O&amp;M'!$D$10</f>
        <v>4532.2169999999996</v>
      </c>
      <c r="AG17" s="29"/>
      <c r="AH17" s="53">
        <f t="shared" si="59"/>
        <v>4532.2169999999996</v>
      </c>
      <c r="AI17" s="54">
        <f t="shared" si="42"/>
        <v>2012.3585498741675</v>
      </c>
      <c r="AJ17" s="26"/>
      <c r="AK17" s="52">
        <f>('Safety and Crash Costs'!$V$15+'Safety and Crash Costs'!$V$31)/20</f>
        <v>164338.04999999999</v>
      </c>
      <c r="AL17" s="55">
        <f>'Health - Emissions'!AP16</f>
        <v>2.2547936803973974</v>
      </c>
      <c r="AM17" s="36"/>
      <c r="AN17" s="56">
        <f>'Health - Emissions'!AQ16</f>
        <v>1.5222589468062862</v>
      </c>
      <c r="AO17" s="56">
        <f>'Health - Mortality'!AS14</f>
        <v>798.38520658977632</v>
      </c>
      <c r="AP17" s="56">
        <f>'Health - Emissions'!AH16*'Economic Activity'!$C$3</f>
        <v>41.403409536581194</v>
      </c>
      <c r="AQ17" s="35"/>
      <c r="AR17" s="36"/>
      <c r="AS17" s="36"/>
      <c r="AT17" s="56">
        <f t="shared" si="73"/>
        <v>165181.61566875354</v>
      </c>
      <c r="AU17" s="57">
        <f t="shared" si="22"/>
        <v>73343.193115195099</v>
      </c>
      <c r="AV17" s="28">
        <f>'Capital Cost'!I13</f>
        <v>0</v>
      </c>
      <c r="AW17" s="53">
        <f>'O&amp;M'!$E$10</f>
        <v>8343.6509999999998</v>
      </c>
      <c r="AX17" s="29"/>
      <c r="AY17" s="53">
        <f t="shared" si="60"/>
        <v>8343.6509999999998</v>
      </c>
      <c r="AZ17" s="54">
        <f t="shared" si="0"/>
        <v>3704.6808277309201</v>
      </c>
      <c r="BA17" s="26"/>
      <c r="BB17" s="52">
        <f>('Safety and Crash Costs'!$V$16+'Safety and Crash Costs'!$V$32)/20</f>
        <v>24774.025000000001</v>
      </c>
      <c r="BC17" s="55">
        <f>'Health - Emissions'!BD16</f>
        <v>0.83046189339787957</v>
      </c>
      <c r="BD17" s="36"/>
      <c r="BE17" s="56">
        <f>'Health - Emissions'!BE16</f>
        <v>0.56066240481204677</v>
      </c>
      <c r="BF17" s="56">
        <f>'Health - Mortality'!AT14</f>
        <v>294.0528422132827</v>
      </c>
      <c r="BG17" s="56">
        <f>'Health - Emissions'!AV16*'Economic Activity'!$C$3</f>
        <v>15.249268336966878</v>
      </c>
      <c r="BH17" s="36"/>
      <c r="BI17" s="36"/>
      <c r="BJ17" s="36"/>
      <c r="BK17" s="56">
        <f t="shared" si="46"/>
        <v>25084.71823484846</v>
      </c>
      <c r="BL17" s="57">
        <f t="shared" si="23"/>
        <v>11138.128624707797</v>
      </c>
      <c r="BM17" s="28">
        <f>'Capital Cost'!H13</f>
        <v>0</v>
      </c>
      <c r="BN17" s="53">
        <f>'O&amp;M'!$F$10</f>
        <v>2683.1880000000001</v>
      </c>
      <c r="BO17" s="29"/>
      <c r="BP17" s="53">
        <f t="shared" si="61"/>
        <v>2683.1880000000001</v>
      </c>
      <c r="BQ17" s="54">
        <f t="shared" si="1"/>
        <v>1191.3675608912301</v>
      </c>
      <c r="BR17" s="26"/>
      <c r="BS17" s="52">
        <f>('Safety and Crash Costs'!$V$17+'Safety and Crash Costs'!$V$33)/20</f>
        <v>127904.325</v>
      </c>
      <c r="BT17" s="55">
        <f>'Health - Emissions'!BR16</f>
        <v>0.70648695703251596</v>
      </c>
      <c r="BU17" s="36"/>
      <c r="BV17" s="56">
        <f>'Health - Emissions'!BS16</f>
        <v>0.4769643007670446</v>
      </c>
      <c r="BW17" s="56">
        <f>'Health - Mortality'!AU14</f>
        <v>250.15536456709273</v>
      </c>
      <c r="BX17" s="56">
        <f>'Health - Emissions'!BJ16*'Economic Activity'!$C$3</f>
        <v>12.9727917319313</v>
      </c>
      <c r="BY17" s="36"/>
      <c r="BZ17" s="36"/>
      <c r="CA17" s="36"/>
      <c r="CB17" s="56">
        <f t="shared" si="47"/>
        <v>128168.63660755681</v>
      </c>
      <c r="CC17" s="57">
        <f t="shared" si="24"/>
        <v>56908.589280414439</v>
      </c>
      <c r="CD17" s="28">
        <f>'Capital Cost'!G13</f>
        <v>0</v>
      </c>
      <c r="CE17" s="53">
        <f>'O&amp;M'!$G$10</f>
        <v>4052.67</v>
      </c>
      <c r="CF17" s="29"/>
      <c r="CG17" s="53">
        <f t="shared" si="62"/>
        <v>4052.67</v>
      </c>
      <c r="CH17" s="54">
        <f t="shared" si="2"/>
        <v>1799.4339468561507</v>
      </c>
      <c r="CI17" s="26"/>
      <c r="CJ17" s="52">
        <f>('Safety and Crash Costs'!$V$18+'Safety and Crash Costs'!$V$34)/20</f>
        <v>11114.924999999999</v>
      </c>
      <c r="CK17" s="55">
        <f>'Health - Emissions'!CF16</f>
        <v>0.36492871965345514</v>
      </c>
      <c r="CL17" s="36"/>
      <c r="CM17" s="56">
        <f>'Health - Emissions'!CG16</f>
        <v>0.24637110404758977</v>
      </c>
      <c r="CN17" s="56">
        <f>'Health - Mortality'!AV14</f>
        <v>129.21523320027958</v>
      </c>
      <c r="CO17" s="56">
        <f>'Health - Emissions'!BX16*'Economic Activity'!$C$3</f>
        <v>6.7009648655788698</v>
      </c>
      <c r="CP17" s="36"/>
      <c r="CQ17" s="36"/>
      <c r="CR17" s="36"/>
      <c r="CS17" s="56">
        <f t="shared" si="48"/>
        <v>11251.452497889557</v>
      </c>
      <c r="CT17" s="57">
        <f t="shared" si="25"/>
        <v>4995.8733888378802</v>
      </c>
      <c r="CU17" s="28">
        <f>'Capital Cost'!F13</f>
        <v>0</v>
      </c>
      <c r="CV17" s="53">
        <f>'O&amp;M'!$H$10</f>
        <v>1817.1089999999999</v>
      </c>
      <c r="CW17" s="29"/>
      <c r="CX17" s="53">
        <f t="shared" si="63"/>
        <v>1817.1089999999999</v>
      </c>
      <c r="CY17" s="54">
        <f t="shared" si="4"/>
        <v>806.81812724397321</v>
      </c>
      <c r="CZ17" s="26"/>
      <c r="DA17" s="52">
        <f>('Safety and Crash Costs'!$V$19+'Safety and Crash Costs'!$V$35)/20</f>
        <v>437404.52500000002</v>
      </c>
      <c r="DB17" s="55">
        <f>'Health - Emissions'!CT16</f>
        <v>16.096262245204038</v>
      </c>
      <c r="DC17" s="36"/>
      <c r="DD17" s="56">
        <f>'Health - Emissions'!CU16</f>
        <v>10.86692739381086</v>
      </c>
      <c r="DE17" s="56">
        <f>'Health - Mortality'!AW14</f>
        <v>5699.4206475226192</v>
      </c>
      <c r="DF17" s="56">
        <f>'Health - Emissions'!CL16*'Economic Activity'!$C$3</f>
        <v>295.56590633557909</v>
      </c>
      <c r="DG17" s="36"/>
      <c r="DH17" s="36"/>
      <c r="DI17" s="36"/>
      <c r="DJ17" s="56">
        <f t="shared" si="49"/>
        <v>443426.47474349727</v>
      </c>
      <c r="DK17" s="57">
        <f t="shared" si="26"/>
        <v>196890.80049162181</v>
      </c>
      <c r="DL17" s="28">
        <f>'Capital Cost'!E13</f>
        <v>0</v>
      </c>
      <c r="DM17" s="53">
        <f>'O&amp;M'!$I$10</f>
        <v>12625.473</v>
      </c>
      <c r="DN17" s="29"/>
      <c r="DO17" s="53">
        <f t="shared" si="64"/>
        <v>12625.473</v>
      </c>
      <c r="DP17" s="54">
        <f t="shared" si="5"/>
        <v>5605.8610030710042</v>
      </c>
      <c r="DQ17" s="26"/>
      <c r="DR17" s="52">
        <f>('Safety and Crash Costs'!$V$20+'Safety and Crash Costs'!$V$36)/20</f>
        <v>338656.9</v>
      </c>
      <c r="DS17" s="55">
        <f>'Health - Emissions'!DH16</f>
        <v>5.8780921600312688</v>
      </c>
      <c r="DT17" s="36"/>
      <c r="DU17" s="56">
        <f>'Health - Emissions'!DI16</f>
        <v>3.9684244543307599</v>
      </c>
      <c r="DV17" s="56">
        <f>'Health - Mortality'!AX14</f>
        <v>2081.3353631154368</v>
      </c>
      <c r="DW17" s="56">
        <f>'Health - Emissions'!CZ16*'Economic Activity'!$C$3</f>
        <v>107.93584313782908</v>
      </c>
      <c r="DX17" s="36"/>
      <c r="DY17" s="36"/>
      <c r="DZ17" s="36"/>
      <c r="EA17" s="56">
        <f t="shared" si="50"/>
        <v>340856.01772286766</v>
      </c>
      <c r="EB17" s="57">
        <f t="shared" si="27"/>
        <v>151345.66108048367</v>
      </c>
      <c r="EC17" s="28">
        <f>'Capital Cost'!K13</f>
        <v>0</v>
      </c>
      <c r="ED17" s="53">
        <f>'O&amp;M'!$J$10</f>
        <v>6594.4049999999997</v>
      </c>
      <c r="EE17" s="29"/>
      <c r="EF17" s="53">
        <f t="shared" si="65"/>
        <v>6594.4049999999997</v>
      </c>
      <c r="EG17" s="54">
        <f t="shared" si="7"/>
        <v>2927.9946840769007</v>
      </c>
      <c r="EH17" s="26"/>
      <c r="EI17" s="52">
        <f>('Safety and Crash Costs'!$V$21+'Safety and Crash Costs'!$V$37)/20</f>
        <v>143994.92499999999</v>
      </c>
      <c r="EJ17" s="55">
        <f>'Health - Emissions'!DV16</f>
        <v>2.2954360072578601</v>
      </c>
      <c r="EK17" s="36"/>
      <c r="EL17" s="56">
        <f>'Health - Emissions'!DW16</f>
        <v>1.5496974420532044</v>
      </c>
      <c r="EM17" s="56">
        <f>'Health - Mortality'!AY14</f>
        <v>812.7759833641112</v>
      </c>
      <c r="EN17" s="56">
        <f>'Health - Emissions'!DN16*'Economic Activity'!$C$3</f>
        <v>42.149699948051023</v>
      </c>
      <c r="EO17" s="36"/>
      <c r="EP17" s="36"/>
      <c r="EQ17" s="36"/>
      <c r="ER17" s="56">
        <f t="shared" si="51"/>
        <v>144853.69581676149</v>
      </c>
      <c r="ES17" s="57">
        <f t="shared" si="28"/>
        <v>64317.364054454636</v>
      </c>
      <c r="ET17" s="28">
        <f>'Capital Cost'!J13</f>
        <v>0</v>
      </c>
      <c r="EU17" s="53">
        <f>'O&amp;M'!$K$10</f>
        <v>6250.6319999999996</v>
      </c>
      <c r="EV17" s="29"/>
      <c r="EW17" s="53">
        <f t="shared" si="66"/>
        <v>6250.6319999999996</v>
      </c>
      <c r="EX17" s="54">
        <f t="shared" si="8"/>
        <v>2775.3553608128354</v>
      </c>
      <c r="EY17" s="26"/>
      <c r="EZ17" s="52">
        <f>('Safety and Crash Costs'!$V$22+'Safety and Crash Costs'!$V$38)/20</f>
        <v>212730</v>
      </c>
      <c r="FA17" s="55">
        <f>'Health - Emissions'!EJ16</f>
        <v>3.7934893049375344</v>
      </c>
      <c r="FB17" s="36"/>
      <c r="FC17" s="56">
        <f>'Health - Emissions'!EK16</f>
        <v>2.561064936565443</v>
      </c>
      <c r="FD17" s="56">
        <f>'Health - Mortality'!AZ14</f>
        <v>1343.2119172362025</v>
      </c>
      <c r="FE17" s="56">
        <f>'Health - Emissions'!EB16*'Economic Activity'!$C$3</f>
        <v>69.657544559592594</v>
      </c>
      <c r="FF17" s="36"/>
      <c r="FG17" s="36"/>
      <c r="FH17" s="36"/>
      <c r="FI17" s="56">
        <f t="shared" si="52"/>
        <v>214149.2240160373</v>
      </c>
      <c r="FJ17" s="57">
        <f t="shared" si="30"/>
        <v>95085.792847699413</v>
      </c>
      <c r="FK17" s="28">
        <f>'Capital Cost'!L13</f>
        <v>0</v>
      </c>
      <c r="FL17" s="53">
        <f>'O&amp;M'!$L$10</f>
        <v>7062.8190000000004</v>
      </c>
      <c r="FM17" s="29"/>
      <c r="FN17" s="53">
        <f t="shared" si="67"/>
        <v>7062.8190000000004</v>
      </c>
      <c r="FO17" s="54">
        <f t="shared" si="10"/>
        <v>3135.9761019526909</v>
      </c>
      <c r="FP17" s="26"/>
      <c r="FQ17" s="52">
        <f>('Safety and Crash Costs'!$V$23+'Safety and Crash Costs'!$V$39)/20</f>
        <v>36292.275000000001</v>
      </c>
      <c r="FR17" s="55">
        <f>'Health - Emissions'!EX16</f>
        <v>0.54844212959939953</v>
      </c>
      <c r="FS17" s="36"/>
      <c r="FT17" s="56">
        <f>'Health - Emissions'!EY16</f>
        <v>0.37026489201488105</v>
      </c>
      <c r="FU17" s="56">
        <f>'Health - Mortality'!BA14</f>
        <v>194.19430112363148</v>
      </c>
      <c r="FV17" s="56">
        <f>'Health - Emissions'!EP16*'Economic Activity'!$C$3</f>
        <v>10.070710369791618</v>
      </c>
      <c r="FW17" s="36"/>
      <c r="FX17" s="36"/>
      <c r="FY17" s="36"/>
      <c r="FZ17" s="56">
        <f t="shared" si="53"/>
        <v>36497.458718515038</v>
      </c>
      <c r="GA17" s="57">
        <f t="shared" si="31"/>
        <v>16205.449304326376</v>
      </c>
      <c r="GB17" s="28">
        <f>'Capital Cost'!M13</f>
        <v>0</v>
      </c>
      <c r="GC17" s="53">
        <f>'O&amp;M'!$M$10</f>
        <v>2523.1620000000003</v>
      </c>
      <c r="GD17" s="29"/>
      <c r="GE17" s="53">
        <f t="shared" si="68"/>
        <v>2523.1620000000003</v>
      </c>
      <c r="GF17" s="54">
        <f t="shared" si="11"/>
        <v>1120.3141031017722</v>
      </c>
      <c r="GG17" s="26"/>
      <c r="GH17" s="52">
        <f>('Safety and Crash Costs'!$V$24+'Safety and Crash Costs'!$V$40)/20</f>
        <v>43497.4</v>
      </c>
      <c r="GI17" s="55">
        <f>'Health - Emissions'!FL16</f>
        <v>2.6023728111252504</v>
      </c>
      <c r="GJ17" s="36"/>
      <c r="GK17" s="56">
        <f>'Health - Emissions'!FM16</f>
        <v>1.7569169760856538</v>
      </c>
      <c r="GL17" s="56">
        <f>'Health - Mortality'!BB14</f>
        <v>921.45723686242775</v>
      </c>
      <c r="GM17" s="56">
        <f>'Health - Emissions'!FD16*'Economic Activity'!$C$3</f>
        <v>47.78579441773708</v>
      </c>
      <c r="GN17" s="36"/>
      <c r="GO17" s="36"/>
      <c r="GP17" s="36"/>
      <c r="GQ17" s="56">
        <f t="shared" si="54"/>
        <v>44471.002321067375</v>
      </c>
      <c r="GR17" s="57">
        <f t="shared" si="33"/>
        <v>19746.326637256352</v>
      </c>
      <c r="GS17" s="28">
        <f>'Capital Cost'!N13</f>
        <v>0</v>
      </c>
      <c r="GT17" s="53">
        <f>'O&amp;M'!$N$10</f>
        <v>4541.6970000000001</v>
      </c>
      <c r="GU17" s="29"/>
      <c r="GV17" s="53">
        <f t="shared" si="69"/>
        <v>4541.6970000000001</v>
      </c>
      <c r="GW17" s="54">
        <f t="shared" si="13"/>
        <v>2016.5677832477697</v>
      </c>
      <c r="GX17" s="26"/>
      <c r="GY17" s="52">
        <f>('Safety and Crash Costs'!$V$25+'Safety and Crash Costs'!$V$41)/20</f>
        <v>95168.4</v>
      </c>
      <c r="GZ17" s="55">
        <f>'Health - Emissions'!FZ16</f>
        <v>1.5505241497390061</v>
      </c>
      <c r="HA17" s="36"/>
      <c r="HB17" s="56">
        <f>'Health - Emissions'!GA16</f>
        <v>1.0467916775265307</v>
      </c>
      <c r="HC17" s="56">
        <f>'Health - Mortality'!BC14</f>
        <v>549.01499608320557</v>
      </c>
      <c r="HD17" s="56">
        <f>'Health - Emissions'!FR16*'Economic Activity'!$C$3</f>
        <v>28.471335060992804</v>
      </c>
      <c r="HE17" s="36"/>
      <c r="HF17" s="36"/>
      <c r="HG17" s="36"/>
      <c r="HH17" s="56">
        <f t="shared" si="55"/>
        <v>95748.483646971465</v>
      </c>
      <c r="HI17" s="57">
        <f t="shared" si="35"/>
        <v>42513.870873598105</v>
      </c>
      <c r="HJ17" s="28">
        <f>'Capital Cost'!O13</f>
        <v>0</v>
      </c>
      <c r="HK17" s="53">
        <f>'O&amp;M'!$O$10</f>
        <v>5217.3509999999997</v>
      </c>
      <c r="HL17" s="29"/>
      <c r="HM17" s="53">
        <f t="shared" si="70"/>
        <v>5217.3509999999997</v>
      </c>
      <c r="HN17" s="54">
        <f t="shared" si="15"/>
        <v>2316.5662395566092</v>
      </c>
      <c r="HO17" s="26"/>
      <c r="HP17" s="52">
        <f>('Safety and Crash Costs'!$V$26+'Safety and Crash Costs'!$V$42)/20</f>
        <v>142756.9</v>
      </c>
      <c r="HQ17" s="55">
        <f>'Health - Emissions'!GN16</f>
        <v>4.7381194584850759</v>
      </c>
      <c r="HR17" s="36"/>
      <c r="HS17" s="56">
        <f>'Health - Emissions'!GO16</f>
        <v>3.1988047507054684</v>
      </c>
      <c r="HT17" s="56">
        <f>'Health - Mortality'!BD14</f>
        <v>1677.6898549950417</v>
      </c>
      <c r="HU17" s="56">
        <f>'Health - Emissions'!GF16*'Economic Activity'!$C$3</f>
        <v>87.003215450881996</v>
      </c>
      <c r="HV17" s="36"/>
      <c r="HW17" s="36"/>
      <c r="HX17" s="36"/>
      <c r="HY17" s="56">
        <f t="shared" si="56"/>
        <v>144529.52999465511</v>
      </c>
      <c r="HZ17" s="57">
        <f t="shared" si="37"/>
        <v>64174.059221023686</v>
      </c>
      <c r="IA17" s="28">
        <f>'Capital Cost'!P13</f>
        <v>0</v>
      </c>
      <c r="IB17" s="53">
        <f>'O&amp;M'!$P$10</f>
        <v>10253.235000000001</v>
      </c>
      <c r="IC17" s="29"/>
      <c r="ID17" s="53">
        <f t="shared" si="71"/>
        <v>10253.235000000001</v>
      </c>
      <c r="IE17" s="54">
        <f t="shared" si="17"/>
        <v>4552.5589609056806</v>
      </c>
      <c r="IF17" s="26"/>
      <c r="IG17" s="52">
        <f>('Safety and Crash Costs'!$V$27+'Safety and Crash Costs'!$V$43)/20</f>
        <v>137635.97500000001</v>
      </c>
      <c r="IH17" s="55">
        <f>'Health - Emissions'!HB16</f>
        <v>4.9825618768413129</v>
      </c>
      <c r="II17" s="36"/>
      <c r="IJ17" s="56">
        <f>'Health - Emissions'!HC16</f>
        <v>3.3638330020957081</v>
      </c>
      <c r="IK17" s="56">
        <f>'Health - Mortality'!BE14</f>
        <v>1764.242878615479</v>
      </c>
      <c r="IL17" s="56">
        <f>'Health - Emissions'!GT16*'Economic Activity'!$C$3</f>
        <v>91.491763402431985</v>
      </c>
      <c r="IM17" s="36"/>
      <c r="IN17" s="36"/>
      <c r="IO17" s="36"/>
      <c r="IP17" s="56">
        <f t="shared" si="57"/>
        <v>139500.05603689689</v>
      </c>
      <c r="IQ17" s="57">
        <f t="shared" si="39"/>
        <v>61940.9755467262</v>
      </c>
      <c r="IR17" s="28">
        <f>'Capital Cost'!Q13</f>
        <v>0</v>
      </c>
      <c r="IS17" s="53">
        <f>'O&amp;M'!$Q$10</f>
        <v>9677.1810000000005</v>
      </c>
      <c r="IT17" s="29"/>
      <c r="IU17" s="53">
        <f t="shared" si="72"/>
        <v>9677.1810000000005</v>
      </c>
      <c r="IV17" s="54">
        <f t="shared" si="19"/>
        <v>4296.7840957372182</v>
      </c>
      <c r="IW17" s="26"/>
    </row>
    <row r="18" spans="1:257" x14ac:dyDescent="0.3">
      <c r="A18">
        <v>13</v>
      </c>
      <c r="B18" s="34">
        <v>2034</v>
      </c>
      <c r="C18" s="52">
        <f>('Safety and Crash Costs'!$V$13+'Safety and Crash Costs'!$V$29)/20</f>
        <v>435297.07500000001</v>
      </c>
      <c r="D18" s="55">
        <f>'Health - Emissions'!N17</f>
        <v>20.292844169596695</v>
      </c>
      <c r="E18" s="35"/>
      <c r="F18" s="56">
        <f>'Health - Emissions'!O17</f>
        <v>13.501576101369981</v>
      </c>
      <c r="G18" s="56">
        <f>'Health - Mortality'!AQ15</f>
        <v>7081.2253379067115</v>
      </c>
      <c r="H18" s="56">
        <f>'Health - Emissions'!F17*'Economic Activity'!$C$3</f>
        <v>367.22483115448239</v>
      </c>
      <c r="I18" s="35"/>
      <c r="J18" s="36"/>
      <c r="K18" s="36"/>
      <c r="L18" s="56">
        <f t="shared" si="40"/>
        <v>442779.3195893321</v>
      </c>
      <c r="M18" s="57">
        <f t="shared" si="43"/>
        <v>183743.07352040219</v>
      </c>
      <c r="N18" s="28">
        <f>'Capital Cost'!C14</f>
        <v>0</v>
      </c>
      <c r="O18" s="53">
        <f>'O&amp;M'!$C$10</f>
        <v>12525.21</v>
      </c>
      <c r="P18" s="29"/>
      <c r="Q18" s="53">
        <f t="shared" si="58"/>
        <v>12525.21</v>
      </c>
      <c r="R18" s="54">
        <f t="shared" si="41"/>
        <v>5197.5168523379898</v>
      </c>
      <c r="S18" s="26"/>
      <c r="T18" s="52">
        <f>('Safety and Crash Costs'!$V$14+'Safety and Crash Costs'!$V$30)/20</f>
        <v>181788.7</v>
      </c>
      <c r="U18" s="55">
        <f>'Health - Emissions'!AB17</f>
        <v>3.6981323758262885</v>
      </c>
      <c r="V18" s="35"/>
      <c r="W18" s="56">
        <f>'Health - Emissions'!AC17</f>
        <v>2.4605035788904468</v>
      </c>
      <c r="X18" s="56">
        <f>'Health - Mortality'!AR15</f>
        <v>1290.4701018632379</v>
      </c>
      <c r="Y18" s="56">
        <f>'Health - Emissions'!T17*'Economic Activity'!$C$3</f>
        <v>66.922409985998712</v>
      </c>
      <c r="Z18" s="35"/>
      <c r="AA18" s="36"/>
      <c r="AB18" s="36"/>
      <c r="AC18" s="56">
        <f t="shared" si="44"/>
        <v>183152.25114780397</v>
      </c>
      <c r="AD18" s="57">
        <f t="shared" si="21"/>
        <v>76002.656431828495</v>
      </c>
      <c r="AE18" s="28">
        <f>'Capital Cost'!D14</f>
        <v>0</v>
      </c>
      <c r="AF18" s="53">
        <f>'O&amp;M'!$D$10</f>
        <v>4532.2169999999996</v>
      </c>
      <c r="AG18" s="29"/>
      <c r="AH18" s="53">
        <f t="shared" si="59"/>
        <v>4532.2169999999996</v>
      </c>
      <c r="AI18" s="54">
        <f t="shared" si="42"/>
        <v>1880.7089251160442</v>
      </c>
      <c r="AJ18" s="26"/>
      <c r="AK18" s="52">
        <f>('Safety and Crash Costs'!$V$15+'Safety and Crash Costs'!$V$31)/20</f>
        <v>164338.04999999999</v>
      </c>
      <c r="AL18" s="55">
        <f>'Health - Emissions'!AP17</f>
        <v>2.8103404672489951</v>
      </c>
      <c r="AM18" s="36"/>
      <c r="AN18" s="56">
        <f>'Health - Emissions'!AQ17</f>
        <v>1.8698229470549417</v>
      </c>
      <c r="AO18" s="56">
        <f>'Health - Mortality'!AS15</f>
        <v>980.67348068655087</v>
      </c>
      <c r="AP18" s="56">
        <f>'Health - Emissions'!AH17*'Economic Activity'!$C$3</f>
        <v>50.856685979894962</v>
      </c>
      <c r="AQ18" s="35"/>
      <c r="AR18" s="36"/>
      <c r="AS18" s="36"/>
      <c r="AT18" s="56">
        <f t="shared" si="73"/>
        <v>165374.26033008075</v>
      </c>
      <c r="AU18" s="57">
        <f t="shared" si="22"/>
        <v>68625.186146573891</v>
      </c>
      <c r="AV18" s="28">
        <f>'Capital Cost'!I14</f>
        <v>0</v>
      </c>
      <c r="AW18" s="53">
        <f>'O&amp;M'!$E$10</f>
        <v>8343.6509999999998</v>
      </c>
      <c r="AX18" s="29"/>
      <c r="AY18" s="53">
        <f t="shared" si="60"/>
        <v>8343.6509999999998</v>
      </c>
      <c r="AZ18" s="54">
        <f t="shared" si="0"/>
        <v>3462.3185305896445</v>
      </c>
      <c r="BA18" s="26"/>
      <c r="BB18" s="52">
        <f>('Safety and Crash Costs'!$V$16+'Safety and Crash Costs'!$V$32)/20</f>
        <v>24774.025000000001</v>
      </c>
      <c r="BC18" s="55">
        <f>'Health - Emissions'!BD17</f>
        <v>1.035075042924966</v>
      </c>
      <c r="BD18" s="36"/>
      <c r="BE18" s="56">
        <f>'Health - Emissions'!BE17</f>
        <v>0.68867352185250497</v>
      </c>
      <c r="BF18" s="56">
        <f>'Health - Mortality'!AT15</f>
        <v>361.19134209765213</v>
      </c>
      <c r="BG18" s="56">
        <f>'Health - Emissions'!AV17*'Economic Activity'!$C$3</f>
        <v>18.73099969100554</v>
      </c>
      <c r="BH18" s="36"/>
      <c r="BI18" s="36"/>
      <c r="BJ18" s="36"/>
      <c r="BK18" s="56">
        <f t="shared" si="46"/>
        <v>25155.671090353437</v>
      </c>
      <c r="BL18" s="57">
        <f t="shared" si="23"/>
        <v>10438.984481667923</v>
      </c>
      <c r="BM18" s="28">
        <f>'Capital Cost'!H14</f>
        <v>0</v>
      </c>
      <c r="BN18" s="53">
        <f>'O&amp;M'!$F$10</f>
        <v>2683.1880000000001</v>
      </c>
      <c r="BO18" s="29"/>
      <c r="BP18" s="53">
        <f t="shared" si="61"/>
        <v>2683.1880000000001</v>
      </c>
      <c r="BQ18" s="54">
        <f t="shared" si="1"/>
        <v>1113.4276270011494</v>
      </c>
      <c r="BR18" s="26"/>
      <c r="BS18" s="52">
        <f>('Safety and Crash Costs'!$V$17+'Safety and Crash Costs'!$V$33)/20</f>
        <v>127904.325</v>
      </c>
      <c r="BT18" s="55">
        <f>'Health - Emissions'!BR17</f>
        <v>0.8805545723288305</v>
      </c>
      <c r="BU18" s="36"/>
      <c r="BV18" s="56">
        <f>'Health - Emissions'!BS17</f>
        <v>0.58586536566023828</v>
      </c>
      <c r="BW18" s="56">
        <f>'Health - Mortality'!AU15</f>
        <v>307.27113936678131</v>
      </c>
      <c r="BX18" s="56">
        <f>'Health - Emissions'!BJ17*'Economic Activity'!$C$3</f>
        <v>15.934755199580721</v>
      </c>
      <c r="BY18" s="36"/>
      <c r="BZ18" s="36"/>
      <c r="CA18" s="36"/>
      <c r="CB18" s="56">
        <f t="shared" si="47"/>
        <v>128228.99731450435</v>
      </c>
      <c r="CC18" s="57">
        <f t="shared" si="24"/>
        <v>53210.709289888087</v>
      </c>
      <c r="CD18" s="28">
        <f>'Capital Cost'!G14</f>
        <v>0</v>
      </c>
      <c r="CE18" s="53">
        <f>'O&amp;M'!$G$10</f>
        <v>4052.67</v>
      </c>
      <c r="CF18" s="29"/>
      <c r="CG18" s="53">
        <f t="shared" si="62"/>
        <v>4052.67</v>
      </c>
      <c r="CH18" s="54">
        <f t="shared" si="2"/>
        <v>1681.7139690244398</v>
      </c>
      <c r="CI18" s="26"/>
      <c r="CJ18" s="52">
        <f>('Safety and Crash Costs'!$V$18+'Safety and Crash Costs'!$V$34)/20</f>
        <v>11114.924999999999</v>
      </c>
      <c r="CK18" s="55">
        <f>'Health - Emissions'!CF17</f>
        <v>0.45484159256766898</v>
      </c>
      <c r="CL18" s="36"/>
      <c r="CM18" s="56">
        <f>'Health - Emissions'!CG17</f>
        <v>0.30262285191749694</v>
      </c>
      <c r="CN18" s="56">
        <f>'Health - Mortality'!AV15</f>
        <v>158.71781121985674</v>
      </c>
      <c r="CO18" s="56">
        <f>'Health - Emissions'!BX17*'Economic Activity'!$C$3</f>
        <v>8.2309372524008158</v>
      </c>
      <c r="CP18" s="36"/>
      <c r="CQ18" s="36"/>
      <c r="CR18" s="36"/>
      <c r="CS18" s="56">
        <f t="shared" si="48"/>
        <v>11282.631212916742</v>
      </c>
      <c r="CT18" s="57">
        <f t="shared" si="25"/>
        <v>4682.0118138995849</v>
      </c>
      <c r="CU18" s="28">
        <f>'Capital Cost'!F14</f>
        <v>0</v>
      </c>
      <c r="CV18" s="53">
        <f>'O&amp;M'!$H$10</f>
        <v>1817.1089999999999</v>
      </c>
      <c r="CW18" s="29"/>
      <c r="CX18" s="53">
        <f t="shared" si="63"/>
        <v>1817.1089999999999</v>
      </c>
      <c r="CY18" s="54">
        <f t="shared" si="4"/>
        <v>754.03563293829268</v>
      </c>
      <c r="CZ18" s="26"/>
      <c r="DA18" s="52">
        <f>('Safety and Crash Costs'!$V$19+'Safety and Crash Costs'!$V$35)/20</f>
        <v>437404.52500000002</v>
      </c>
      <c r="DB18" s="55">
        <f>'Health - Emissions'!CT17</f>
        <v>20.062135862992314</v>
      </c>
      <c r="DC18" s="36"/>
      <c r="DD18" s="56">
        <f>'Health - Emissions'!CU17</f>
        <v>13.34807737379861</v>
      </c>
      <c r="DE18" s="56">
        <f>'Health - Mortality'!AW15</f>
        <v>7000.719249517183</v>
      </c>
      <c r="DF18" s="56">
        <f>'Health - Emissions'!CL17*'Economic Activity'!$C$3</f>
        <v>363.04987084676657</v>
      </c>
      <c r="DG18" s="36"/>
      <c r="DH18" s="36"/>
      <c r="DI18" s="36"/>
      <c r="DJ18" s="56">
        <f t="shared" si="49"/>
        <v>444801.70433360082</v>
      </c>
      <c r="DK18" s="57">
        <f t="shared" si="26"/>
        <v>184582.22992384038</v>
      </c>
      <c r="DL18" s="28">
        <f>'Capital Cost'!E14</f>
        <v>0</v>
      </c>
      <c r="DM18" s="53">
        <f>'O&amp;M'!$I$10</f>
        <v>12625.473</v>
      </c>
      <c r="DN18" s="29"/>
      <c r="DO18" s="53">
        <f t="shared" si="64"/>
        <v>12625.473</v>
      </c>
      <c r="DP18" s="54">
        <f t="shared" si="5"/>
        <v>5239.1224327766386</v>
      </c>
      <c r="DQ18" s="26"/>
      <c r="DR18" s="52">
        <f>('Safety and Crash Costs'!$V$20+'Safety and Crash Costs'!$V$36)/20</f>
        <v>338656.9</v>
      </c>
      <c r="DS18" s="55">
        <f>'Health - Emissions'!DH17</f>
        <v>7.3263644523978968</v>
      </c>
      <c r="DT18" s="36"/>
      <c r="DU18" s="56">
        <f>'Health - Emissions'!DI17</f>
        <v>4.8744999160158597</v>
      </c>
      <c r="DV18" s="56">
        <f>'Health - Mortality'!AX15</f>
        <v>2556.5483655951266</v>
      </c>
      <c r="DW18" s="56">
        <f>'Health - Emissions'!CZ17*'Economic Activity'!$C$3</f>
        <v>132.57988513206476</v>
      </c>
      <c r="DX18" s="36"/>
      <c r="DY18" s="36"/>
      <c r="DZ18" s="36"/>
      <c r="EA18" s="56">
        <f t="shared" si="50"/>
        <v>341358.22911509569</v>
      </c>
      <c r="EB18" s="57">
        <f t="shared" si="27"/>
        <v>141653.47779386572</v>
      </c>
      <c r="EC18" s="28">
        <f>'Capital Cost'!K14</f>
        <v>0</v>
      </c>
      <c r="ED18" s="53">
        <f>'O&amp;M'!$J$10</f>
        <v>6594.4049999999997</v>
      </c>
      <c r="EE18" s="29"/>
      <c r="EF18" s="53">
        <f t="shared" si="65"/>
        <v>6594.4049999999997</v>
      </c>
      <c r="EG18" s="54">
        <f t="shared" si="7"/>
        <v>2736.443629978412</v>
      </c>
      <c r="EH18" s="26"/>
      <c r="EI18" s="52">
        <f>('Safety and Crash Costs'!$V$21+'Safety and Crash Costs'!$V$37)/20</f>
        <v>143994.92499999999</v>
      </c>
      <c r="EJ18" s="55">
        <f>'Health - Emissions'!DV17</f>
        <v>2.8609964438255222</v>
      </c>
      <c r="EK18" s="36"/>
      <c r="EL18" s="56">
        <f>'Health - Emissions'!DW17</f>
        <v>1.9035262326575522</v>
      </c>
      <c r="EM18" s="56">
        <f>'Health - Mortality'!AY15</f>
        <v>998.34997698506083</v>
      </c>
      <c r="EN18" s="56">
        <f>'Health - Emissions'!DN17*'Economic Activity'!$C$3</f>
        <v>51.773370318956253</v>
      </c>
      <c r="EO18" s="36"/>
      <c r="EP18" s="36"/>
      <c r="EQ18" s="36"/>
      <c r="ER18" s="56">
        <f t="shared" si="51"/>
        <v>145049.81286998052</v>
      </c>
      <c r="ES18" s="57">
        <f t="shared" si="28"/>
        <v>60191.276501479573</v>
      </c>
      <c r="ET18" s="28">
        <f>'Capital Cost'!J14</f>
        <v>0</v>
      </c>
      <c r="EU18" s="53">
        <f>'O&amp;M'!$K$10</f>
        <v>6250.6319999999996</v>
      </c>
      <c r="EV18" s="29"/>
      <c r="EW18" s="53">
        <f t="shared" si="66"/>
        <v>6250.6319999999996</v>
      </c>
      <c r="EX18" s="54">
        <f t="shared" si="8"/>
        <v>2593.7900568344253</v>
      </c>
      <c r="EY18" s="26"/>
      <c r="EZ18" s="52">
        <f>('Safety and Crash Costs'!$V$22+'Safety and Crash Costs'!$V$38)/20</f>
        <v>212730</v>
      </c>
      <c r="FA18" s="55">
        <f>'Health - Emissions'!EJ17</f>
        <v>4.7281472351223117</v>
      </c>
      <c r="FB18" s="36"/>
      <c r="FC18" s="56">
        <f>'Health - Emissions'!EK17</f>
        <v>3.1458103743352535</v>
      </c>
      <c r="FD18" s="56">
        <f>'Health - Mortality'!AZ15</f>
        <v>1649.8956835663262</v>
      </c>
      <c r="FE18" s="56">
        <f>'Health - Emissions'!EB17*'Economic Activity'!$C$3</f>
        <v>85.561839216835182</v>
      </c>
      <c r="FF18" s="36"/>
      <c r="FG18" s="36"/>
      <c r="FH18" s="36"/>
      <c r="FI18" s="56">
        <f t="shared" si="52"/>
        <v>214473.33148039258</v>
      </c>
      <c r="FJ18" s="57">
        <f t="shared" si="30"/>
        <v>89000.0652097649</v>
      </c>
      <c r="FK18" s="28">
        <f>'Capital Cost'!L14</f>
        <v>0</v>
      </c>
      <c r="FL18" s="53">
        <f>'O&amp;M'!$L$10</f>
        <v>7062.8190000000004</v>
      </c>
      <c r="FM18" s="29"/>
      <c r="FN18" s="53">
        <f t="shared" si="67"/>
        <v>7062.8190000000004</v>
      </c>
      <c r="FO18" s="54">
        <f t="shared" si="10"/>
        <v>2930.8187868716736</v>
      </c>
      <c r="FP18" s="26"/>
      <c r="FQ18" s="52">
        <f>('Safety and Crash Costs'!$V$23+'Safety and Crash Costs'!$V$39)/20</f>
        <v>36292.275000000001</v>
      </c>
      <c r="FR18" s="55">
        <f>'Health - Emissions'!EX17</f>
        <v>0.68356990892655045</v>
      </c>
      <c r="FS18" s="36"/>
      <c r="FT18" s="56">
        <f>'Health - Emissions'!EY17</f>
        <v>0.45480421910527058</v>
      </c>
      <c r="FU18" s="56">
        <f>'Health - Mortality'!BA15</f>
        <v>238.5329783674909</v>
      </c>
      <c r="FV18" s="56">
        <f>'Health - Emissions'!EP17*'Economic Activity'!$C$3</f>
        <v>12.370067117744309</v>
      </c>
      <c r="FW18" s="36"/>
      <c r="FX18" s="36"/>
      <c r="FY18" s="36"/>
      <c r="FZ18" s="56">
        <f t="shared" si="53"/>
        <v>36544.316419613264</v>
      </c>
      <c r="GA18" s="57">
        <f t="shared" si="31"/>
        <v>15164.773907164448</v>
      </c>
      <c r="GB18" s="28">
        <f>'Capital Cost'!M14</f>
        <v>0</v>
      </c>
      <c r="GC18" s="53">
        <f>'O&amp;M'!$M$10</f>
        <v>2523.1620000000003</v>
      </c>
      <c r="GD18" s="29"/>
      <c r="GE18" s="53">
        <f t="shared" si="68"/>
        <v>2523.1620000000003</v>
      </c>
      <c r="GF18" s="54">
        <f t="shared" si="11"/>
        <v>1047.0225262633385</v>
      </c>
      <c r="GG18" s="26"/>
      <c r="GH18" s="52">
        <f>('Safety and Crash Costs'!$V$24+'Safety and Crash Costs'!$V$40)/20</f>
        <v>43497.4</v>
      </c>
      <c r="GI18" s="55">
        <f>'Health - Emissions'!FL17</f>
        <v>3.243557796687111</v>
      </c>
      <c r="GJ18" s="36"/>
      <c r="GK18" s="56">
        <f>'Health - Emissions'!FM17</f>
        <v>2.1580583808343179</v>
      </c>
      <c r="GL18" s="56">
        <f>'Health - Mortality'!BB15</f>
        <v>1131.8454654709014</v>
      </c>
      <c r="GM18" s="56">
        <f>'Health - Emissions'!FD17*'Economic Activity'!$C$3</f>
        <v>58.696304681272373</v>
      </c>
      <c r="GN18" s="36"/>
      <c r="GO18" s="36"/>
      <c r="GP18" s="36"/>
      <c r="GQ18" s="56">
        <f t="shared" si="54"/>
        <v>44693.343386329696</v>
      </c>
      <c r="GR18" s="57">
        <f t="shared" si="33"/>
        <v>18547.011306458826</v>
      </c>
      <c r="GS18" s="28">
        <f>'Capital Cost'!N14</f>
        <v>0</v>
      </c>
      <c r="GT18" s="53">
        <f>'O&amp;M'!$N$10</f>
        <v>4541.6970000000001</v>
      </c>
      <c r="GU18" s="29"/>
      <c r="GV18" s="53">
        <f t="shared" si="69"/>
        <v>4541.6970000000001</v>
      </c>
      <c r="GW18" s="54">
        <f t="shared" si="13"/>
        <v>1884.6427880820277</v>
      </c>
      <c r="GX18" s="26"/>
      <c r="GY18" s="52">
        <f>('Safety and Crash Costs'!$V$25+'Safety and Crash Costs'!$V$41)/20</f>
        <v>95168.4</v>
      </c>
      <c r="GZ18" s="55">
        <f>'Health - Emissions'!FZ17</f>
        <v>1.9325496613465645</v>
      </c>
      <c r="HA18" s="36"/>
      <c r="HB18" s="56">
        <f>'Health - Emissions'!GA17</f>
        <v>1.2857964169182299</v>
      </c>
      <c r="HC18" s="56">
        <f>'Health - Mortality'!BC15</f>
        <v>674.36676270314558</v>
      </c>
      <c r="HD18" s="56">
        <f>'Health - Emissions'!FR17*'Economic Activity'!$C$3</f>
        <v>34.971944649774962</v>
      </c>
      <c r="HE18" s="36"/>
      <c r="HF18" s="36"/>
      <c r="HG18" s="36"/>
      <c r="HH18" s="56">
        <f t="shared" si="55"/>
        <v>95880.957053431179</v>
      </c>
      <c r="HI18" s="57">
        <f t="shared" si="35"/>
        <v>39787.702439579916</v>
      </c>
      <c r="HJ18" s="28">
        <f>'Capital Cost'!O14</f>
        <v>0</v>
      </c>
      <c r="HK18" s="53">
        <f>'O&amp;M'!$O$10</f>
        <v>5217.3509999999997</v>
      </c>
      <c r="HL18" s="29"/>
      <c r="HM18" s="53">
        <f t="shared" si="70"/>
        <v>5217.3509999999997</v>
      </c>
      <c r="HN18" s="54">
        <f t="shared" si="15"/>
        <v>2165.0151771557094</v>
      </c>
      <c r="HO18" s="26"/>
      <c r="HP18" s="52">
        <f>('Safety and Crash Costs'!$V$26+'Safety and Crash Costs'!$V$42)/20</f>
        <v>142756.9</v>
      </c>
      <c r="HQ18" s="55">
        <f>'Health - Emissions'!GN17</f>
        <v>5.9055198569181915</v>
      </c>
      <c r="HR18" s="36"/>
      <c r="HS18" s="56">
        <f>'Health - Emissions'!GO17</f>
        <v>3.9291597126533877</v>
      </c>
      <c r="HT18" s="56">
        <f>'Health - Mortality'!BD15</f>
        <v>2060.7420278214963</v>
      </c>
      <c r="HU18" s="56">
        <f>'Health - Emissions'!GF17*'Economic Activity'!$C$3</f>
        <v>106.86789462392674</v>
      </c>
      <c r="HV18" s="36"/>
      <c r="HW18" s="36"/>
      <c r="HX18" s="36"/>
      <c r="HY18" s="56">
        <f t="shared" si="56"/>
        <v>144934.34460201499</v>
      </c>
      <c r="HZ18" s="57">
        <f t="shared" si="37"/>
        <v>60144.171078735199</v>
      </c>
      <c r="IA18" s="28">
        <f>'Capital Cost'!P14</f>
        <v>0</v>
      </c>
      <c r="IB18" s="53">
        <f>'O&amp;M'!$P$10</f>
        <v>10253.235000000001</v>
      </c>
      <c r="IC18" s="29"/>
      <c r="ID18" s="53">
        <f t="shared" si="71"/>
        <v>10253.235000000001</v>
      </c>
      <c r="IE18" s="54">
        <f t="shared" si="17"/>
        <v>4254.7280008464304</v>
      </c>
      <c r="IF18" s="26"/>
      <c r="IG18" s="52">
        <f>('Safety and Crash Costs'!$V$27+'Safety and Crash Costs'!$V$43)/20</f>
        <v>137635.97500000001</v>
      </c>
      <c r="IH18" s="55">
        <f>'Health - Emissions'!HB17</f>
        <v>6.2101891604518418</v>
      </c>
      <c r="II18" s="36"/>
      <c r="IJ18" s="56">
        <f>'Health - Emissions'!HC17</f>
        <v>4.131867413606118</v>
      </c>
      <c r="IK18" s="56">
        <f>'Health - Mortality'!BE15</f>
        <v>2167.0569422728277</v>
      </c>
      <c r="IL18" s="56">
        <f>'Health - Emissions'!GT17*'Economic Activity'!$C$3</f>
        <v>112.38127326188639</v>
      </c>
      <c r="IM18" s="36"/>
      <c r="IN18" s="36"/>
      <c r="IO18" s="36"/>
      <c r="IP18" s="56">
        <f t="shared" si="57"/>
        <v>139925.75527210877</v>
      </c>
      <c r="IQ18" s="57">
        <f t="shared" si="39"/>
        <v>58065.865610791414</v>
      </c>
      <c r="IR18" s="28">
        <f>'Capital Cost'!Q14</f>
        <v>0</v>
      </c>
      <c r="IS18" s="53">
        <f>'O&amp;M'!$Q$10</f>
        <v>9677.1810000000005</v>
      </c>
      <c r="IT18" s="29"/>
      <c r="IU18" s="53">
        <f t="shared" si="72"/>
        <v>9677.1810000000005</v>
      </c>
      <c r="IV18" s="54">
        <f t="shared" si="19"/>
        <v>4015.6860707824467</v>
      </c>
      <c r="IW18" s="26"/>
    </row>
    <row r="19" spans="1:257" x14ac:dyDescent="0.3">
      <c r="A19">
        <v>14</v>
      </c>
      <c r="B19" s="34">
        <v>2035</v>
      </c>
      <c r="C19" s="52">
        <f>('Safety and Crash Costs'!$V$13+'Safety and Crash Costs'!$V$29)/20</f>
        <v>435297.07500000001</v>
      </c>
      <c r="D19" s="55">
        <f>'Health - Emissions'!N18</f>
        <v>24.58696861522947</v>
      </c>
      <c r="E19" s="35"/>
      <c r="F19" s="56">
        <f>'Health - Emissions'!O18</f>
        <v>16.124920637712961</v>
      </c>
      <c r="G19" s="56">
        <f>'Health - Mortality'!AQ16</f>
        <v>8457.1012846360809</v>
      </c>
      <c r="H19" s="56">
        <f>'Health - Emissions'!F18*'Economic Activity'!$C$3</f>
        <v>438.57629761926313</v>
      </c>
      <c r="I19" s="35"/>
      <c r="J19" s="36"/>
      <c r="K19" s="36"/>
      <c r="L19" s="56">
        <f t="shared" si="40"/>
        <v>444233.46447150828</v>
      </c>
      <c r="M19" s="57">
        <f t="shared" si="43"/>
        <v>172288.11619131744</v>
      </c>
      <c r="N19" s="28">
        <f>'Capital Cost'!C15</f>
        <v>0</v>
      </c>
      <c r="O19" s="53">
        <f>'O&amp;M'!$C$10</f>
        <v>12525.21</v>
      </c>
      <c r="P19" s="29"/>
      <c r="Q19" s="53">
        <f t="shared" si="58"/>
        <v>12525.21</v>
      </c>
      <c r="R19" s="54">
        <f t="shared" si="41"/>
        <v>4857.4923853626078</v>
      </c>
      <c r="S19" s="26"/>
      <c r="T19" s="52">
        <f>('Safety and Crash Costs'!$V$14+'Safety and Crash Costs'!$V$30)/20</f>
        <v>181788.7</v>
      </c>
      <c r="U19" s="55">
        <f>'Health - Emissions'!AB18</f>
        <v>4.4806860930629284</v>
      </c>
      <c r="V19" s="35"/>
      <c r="W19" s="56">
        <f>'Health - Emissions'!AC18</f>
        <v>2.9385772920534374</v>
      </c>
      <c r="X19" s="56">
        <f>'Health - Mortality'!AR16</f>
        <v>1541.2073243637583</v>
      </c>
      <c r="Y19" s="56">
        <f>'Health - Emissions'!T18*'Economic Activity'!$C$3</f>
        <v>79.925376252867494</v>
      </c>
      <c r="Z19" s="35"/>
      <c r="AA19" s="36"/>
      <c r="AB19" s="36"/>
      <c r="AC19" s="56">
        <f t="shared" si="44"/>
        <v>183417.25196400174</v>
      </c>
      <c r="AD19" s="57">
        <f t="shared" si="21"/>
        <v>71133.5971856986</v>
      </c>
      <c r="AE19" s="28">
        <f>'Capital Cost'!D15</f>
        <v>0</v>
      </c>
      <c r="AF19" s="53">
        <f>'O&amp;M'!$D$10</f>
        <v>4532.2169999999996</v>
      </c>
      <c r="AG19" s="29"/>
      <c r="AH19" s="53">
        <f t="shared" si="59"/>
        <v>4532.2169999999996</v>
      </c>
      <c r="AI19" s="54">
        <f t="shared" si="42"/>
        <v>1757.6718926318172</v>
      </c>
      <c r="AJ19" s="26"/>
      <c r="AK19" s="52">
        <f>('Safety and Crash Costs'!$V$15+'Safety and Crash Costs'!$V$31)/20</f>
        <v>164338.04999999999</v>
      </c>
      <c r="AL19" s="55">
        <f>'Health - Emissions'!AP18</f>
        <v>3.4050304771908007</v>
      </c>
      <c r="AM19" s="36"/>
      <c r="AN19" s="56">
        <f>'Health - Emissions'!AQ18</f>
        <v>2.233127925322449</v>
      </c>
      <c r="AO19" s="56">
        <f>'Health - Mortality'!AS16</f>
        <v>1171.2174881550181</v>
      </c>
      <c r="AP19" s="56">
        <f>'Health - Emissions'!AH18*'Economic Activity'!$C$3</f>
        <v>60.73809599456213</v>
      </c>
      <c r="AQ19" s="35"/>
      <c r="AR19" s="36"/>
      <c r="AS19" s="36"/>
      <c r="AT19" s="56">
        <f t="shared" si="73"/>
        <v>165575.64374255209</v>
      </c>
      <c r="AU19" s="57">
        <f t="shared" si="22"/>
        <v>64214.019932656636</v>
      </c>
      <c r="AV19" s="28">
        <f>'Capital Cost'!I15</f>
        <v>0</v>
      </c>
      <c r="AW19" s="53">
        <f>'O&amp;M'!$E$10</f>
        <v>8343.6509999999998</v>
      </c>
      <c r="AX19" s="29"/>
      <c r="AY19" s="53">
        <f t="shared" si="60"/>
        <v>8343.6509999999998</v>
      </c>
      <c r="AZ19" s="54">
        <f t="shared" si="0"/>
        <v>3235.8117108314436</v>
      </c>
      <c r="BA19" s="26"/>
      <c r="BB19" s="52">
        <f>('Safety and Crash Costs'!$V$16+'Safety and Crash Costs'!$V$32)/20</f>
        <v>24774.025000000001</v>
      </c>
      <c r="BC19" s="55">
        <f>'Health - Emissions'!BD18</f>
        <v>1.2541050126887778</v>
      </c>
      <c r="BD19" s="36"/>
      <c r="BE19" s="56">
        <f>'Health - Emissions'!BE18</f>
        <v>0.8224821903599201</v>
      </c>
      <c r="BF19" s="56">
        <f>'Health - Mortality'!AT16</f>
        <v>431.37050686717294</v>
      </c>
      <c r="BG19" s="56">
        <f>'Health - Emissions'!AV18*'Economic Activity'!$C$3</f>
        <v>22.370416699117332</v>
      </c>
      <c r="BH19" s="36"/>
      <c r="BI19" s="36"/>
      <c r="BJ19" s="36"/>
      <c r="BK19" s="56">
        <f t="shared" si="46"/>
        <v>25229.84251076934</v>
      </c>
      <c r="BL19" s="57">
        <f t="shared" si="23"/>
        <v>9784.91066143647</v>
      </c>
      <c r="BM19" s="28">
        <f>'Capital Cost'!H15</f>
        <v>0</v>
      </c>
      <c r="BN19" s="53">
        <f>'O&amp;M'!$F$10</f>
        <v>2683.1880000000001</v>
      </c>
      <c r="BO19" s="29"/>
      <c r="BP19" s="53">
        <f t="shared" si="61"/>
        <v>2683.1880000000001</v>
      </c>
      <c r="BQ19" s="54">
        <f t="shared" si="1"/>
        <v>1040.5865672907939</v>
      </c>
      <c r="BR19" s="26"/>
      <c r="BS19" s="52">
        <f>('Safety and Crash Costs'!$V$17+'Safety and Crash Costs'!$V$33)/20</f>
        <v>127904.325</v>
      </c>
      <c r="BT19" s="55">
        <f>'Health - Emissions'!BR18</f>
        <v>1.0668868027027305</v>
      </c>
      <c r="BU19" s="36"/>
      <c r="BV19" s="56">
        <f>'Health - Emissions'!BS18</f>
        <v>0.69969849851066301</v>
      </c>
      <c r="BW19" s="56">
        <f>'Health - Mortality'!AU16</f>
        <v>366.97365547169284</v>
      </c>
      <c r="BX19" s="56">
        <f>'Health - Emissions'!BJ18*'Economic Activity'!$C$3</f>
        <v>19.030864326169386</v>
      </c>
      <c r="BY19" s="36"/>
      <c r="BZ19" s="36"/>
      <c r="CA19" s="36"/>
      <c r="CB19" s="56">
        <f t="shared" si="47"/>
        <v>128292.09610509907</v>
      </c>
      <c r="CC19" s="57">
        <f t="shared" si="24"/>
        <v>49754.178336574776</v>
      </c>
      <c r="CD19" s="28">
        <f>'Capital Cost'!G15</f>
        <v>0</v>
      </c>
      <c r="CE19" s="53">
        <f>'O&amp;M'!$G$10</f>
        <v>4052.67</v>
      </c>
      <c r="CF19" s="29"/>
      <c r="CG19" s="53">
        <f t="shared" si="62"/>
        <v>4052.67</v>
      </c>
      <c r="CH19" s="54">
        <f t="shared" si="2"/>
        <v>1571.6952981536822</v>
      </c>
      <c r="CI19" s="26"/>
      <c r="CJ19" s="52">
        <f>('Safety and Crash Costs'!$V$18+'Safety and Crash Costs'!$V$34)/20</f>
        <v>11114.924999999999</v>
      </c>
      <c r="CK19" s="55">
        <f>'Health - Emissions'!CF18</f>
        <v>0.551089628831685</v>
      </c>
      <c r="CL19" s="36"/>
      <c r="CM19" s="56">
        <f>'Health - Emissions'!CG18</f>
        <v>0.36142220979911055</v>
      </c>
      <c r="CN19" s="56">
        <f>'Health - Mortality'!AV16</f>
        <v>189.55654439869494</v>
      </c>
      <c r="CO19" s="56">
        <f>'Health - Emissions'!BX18*'Economic Activity'!$C$3</f>
        <v>9.8302012278026627</v>
      </c>
      <c r="CP19" s="36"/>
      <c r="CQ19" s="36"/>
      <c r="CR19" s="36"/>
      <c r="CS19" s="56">
        <f t="shared" si="48"/>
        <v>11315.224257465126</v>
      </c>
      <c r="CT19" s="57">
        <f t="shared" si="25"/>
        <v>4388.3896661292492</v>
      </c>
      <c r="CU19" s="28">
        <f>'Capital Cost'!F15</f>
        <v>0</v>
      </c>
      <c r="CV19" s="53">
        <f>'O&amp;M'!$H$10</f>
        <v>1817.1089999999999</v>
      </c>
      <c r="CW19" s="29"/>
      <c r="CX19" s="53">
        <f t="shared" si="63"/>
        <v>1817.1089999999999</v>
      </c>
      <c r="CY19" s="54">
        <f t="shared" si="4"/>
        <v>704.70619900775023</v>
      </c>
      <c r="CZ19" s="26"/>
      <c r="DA19" s="52">
        <f>('Safety and Crash Costs'!$V$19+'Safety and Crash Costs'!$V$35)/20</f>
        <v>437404.52500000002</v>
      </c>
      <c r="DB19" s="55">
        <f>'Health - Emissions'!CT18</f>
        <v>24.307440627612404</v>
      </c>
      <c r="DC19" s="36"/>
      <c r="DD19" s="56">
        <f>'Health - Emissions'!CU18</f>
        <v>15.94159724039293</v>
      </c>
      <c r="DE19" s="56">
        <f>'Health - Mortality'!AW16</f>
        <v>8360.9529330371861</v>
      </c>
      <c r="DF19" s="56">
        <f>'Health - Emissions'!CL18*'Economic Activity'!$C$3</f>
        <v>433.5901461416824</v>
      </c>
      <c r="DG19" s="36"/>
      <c r="DH19" s="36"/>
      <c r="DI19" s="36"/>
      <c r="DJ19" s="56">
        <f t="shared" si="49"/>
        <v>446239.31711704691</v>
      </c>
      <c r="DK19" s="57">
        <f t="shared" si="26"/>
        <v>173065.94403504068</v>
      </c>
      <c r="DL19" s="28">
        <f>'Capital Cost'!E15</f>
        <v>0</v>
      </c>
      <c r="DM19" s="53">
        <f>'O&amp;M'!$I$10</f>
        <v>12625.473</v>
      </c>
      <c r="DN19" s="29"/>
      <c r="DO19" s="53">
        <f t="shared" si="64"/>
        <v>12625.473</v>
      </c>
      <c r="DP19" s="54">
        <f t="shared" si="5"/>
        <v>4896.3761053987282</v>
      </c>
      <c r="DQ19" s="26"/>
      <c r="DR19" s="52">
        <f>('Safety and Crash Costs'!$V$20+'Safety and Crash Costs'!$V$36)/20</f>
        <v>338656.9</v>
      </c>
      <c r="DS19" s="55">
        <f>'Health - Emissions'!DH18</f>
        <v>8.8766804371720536</v>
      </c>
      <c r="DT19" s="36"/>
      <c r="DU19" s="56">
        <f>'Health - Emissions'!DI18</f>
        <v>5.8216110255689877</v>
      </c>
      <c r="DV19" s="56">
        <f>'Health - Mortality'!AX16</f>
        <v>3053.2834975846458</v>
      </c>
      <c r="DW19" s="56">
        <f>'Health - Emissions'!CZ18*'Economic Activity'!$C$3</f>
        <v>158.34004192256651</v>
      </c>
      <c r="DX19" s="36"/>
      <c r="DY19" s="36"/>
      <c r="DZ19" s="36"/>
      <c r="EA19" s="56">
        <f t="shared" si="50"/>
        <v>341883.22183096997</v>
      </c>
      <c r="EB19" s="57">
        <f t="shared" si="27"/>
        <v>132590.63384237787</v>
      </c>
      <c r="EC19" s="28">
        <f>'Capital Cost'!K15</f>
        <v>0</v>
      </c>
      <c r="ED19" s="53">
        <f>'O&amp;M'!$J$10</f>
        <v>6594.4049999999997</v>
      </c>
      <c r="EE19" s="29"/>
      <c r="EF19" s="53">
        <f t="shared" si="65"/>
        <v>6594.4049999999997</v>
      </c>
      <c r="EG19" s="54">
        <f t="shared" si="7"/>
        <v>2557.4239532508523</v>
      </c>
      <c r="EH19" s="26"/>
      <c r="EI19" s="52">
        <f>('Safety and Crash Costs'!$V$21+'Safety and Crash Costs'!$V$37)/20</f>
        <v>143994.92499999999</v>
      </c>
      <c r="EJ19" s="55">
        <f>'Health - Emissions'!DV18</f>
        <v>3.4664056543641855</v>
      </c>
      <c r="EK19" s="36"/>
      <c r="EL19" s="56">
        <f>'Health - Emissions'!DW18</f>
        <v>2.2733797301111611</v>
      </c>
      <c r="EM19" s="56">
        <f>'Health - Mortality'!AY16</f>
        <v>1192.3285123662865</v>
      </c>
      <c r="EN19" s="56">
        <f>'Health - Emissions'!DN18*'Economic Activity'!$C$3</f>
        <v>61.832891306325642</v>
      </c>
      <c r="EO19" s="36"/>
      <c r="EP19" s="36"/>
      <c r="EQ19" s="36"/>
      <c r="ER19" s="56">
        <f t="shared" si="51"/>
        <v>145254.82618905706</v>
      </c>
      <c r="ES19" s="57">
        <f t="shared" si="28"/>
        <v>56333.273307714349</v>
      </c>
      <c r="ET19" s="28">
        <f>'Capital Cost'!J15</f>
        <v>0</v>
      </c>
      <c r="EU19" s="53">
        <f>'O&amp;M'!$K$10</f>
        <v>6250.6319999999996</v>
      </c>
      <c r="EV19" s="29"/>
      <c r="EW19" s="53">
        <f t="shared" si="66"/>
        <v>6250.6319999999996</v>
      </c>
      <c r="EX19" s="54">
        <f t="shared" si="8"/>
        <v>2424.1028568546035</v>
      </c>
      <c r="EY19" s="26"/>
      <c r="EZ19" s="52">
        <f>('Safety and Crash Costs'!$V$22+'Safety and Crash Costs'!$V$38)/20</f>
        <v>212730</v>
      </c>
      <c r="FA19" s="55">
        <f>'Health - Emissions'!EJ18</f>
        <v>5.7286601477138728</v>
      </c>
      <c r="FB19" s="36"/>
      <c r="FC19" s="56">
        <f>'Health - Emissions'!EK18</f>
        <v>3.7570386039821715</v>
      </c>
      <c r="FD19" s="56">
        <f>'Health - Mortality'!AZ16</f>
        <v>1970.4689851218714</v>
      </c>
      <c r="FE19" s="56">
        <f>'Health - Emissions'!EB18*'Economic Activity'!$C$3</f>
        <v>102.18643043075778</v>
      </c>
      <c r="FF19" s="36"/>
      <c r="FG19" s="36"/>
      <c r="FH19" s="36"/>
      <c r="FI19" s="56">
        <f t="shared" si="52"/>
        <v>214812.14111430434</v>
      </c>
      <c r="FJ19" s="57">
        <f t="shared" si="30"/>
        <v>83309.417550027691</v>
      </c>
      <c r="FK19" s="28">
        <f>'Capital Cost'!L15</f>
        <v>0</v>
      </c>
      <c r="FL19" s="53">
        <f>'O&amp;M'!$L$10</f>
        <v>7062.8190000000004</v>
      </c>
      <c r="FM19" s="29"/>
      <c r="FN19" s="53">
        <f t="shared" si="67"/>
        <v>7062.8190000000004</v>
      </c>
      <c r="FO19" s="54">
        <f t="shared" si="10"/>
        <v>2739.0829783847416</v>
      </c>
      <c r="FP19" s="26"/>
      <c r="FQ19" s="52">
        <f>('Safety and Crash Costs'!$V$23+'Safety and Crash Costs'!$V$39)/20</f>
        <v>36292.275000000001</v>
      </c>
      <c r="FR19" s="55">
        <f>'Health - Emissions'!EX18</f>
        <v>0.82821864479070761</v>
      </c>
      <c r="FS19" s="36"/>
      <c r="FT19" s="56">
        <f>'Health - Emissions'!EY18</f>
        <v>0.54317228475462054</v>
      </c>
      <c r="FU19" s="56">
        <f>'Health - Mortality'!BA16</f>
        <v>284.87972935713918</v>
      </c>
      <c r="FV19" s="56">
        <f>'Health - Emissions'!EP18*'Economic Activity'!$C$3</f>
        <v>14.773560439108326</v>
      </c>
      <c r="FW19" s="36"/>
      <c r="FX19" s="36"/>
      <c r="FY19" s="36"/>
      <c r="FZ19" s="56">
        <f t="shared" si="53"/>
        <v>36593.299680725795</v>
      </c>
      <c r="GA19" s="57">
        <f t="shared" si="31"/>
        <v>14191.738874522634</v>
      </c>
      <c r="GB19" s="28">
        <f>'Capital Cost'!M15</f>
        <v>0</v>
      </c>
      <c r="GC19" s="53">
        <f>'O&amp;M'!$M$10</f>
        <v>2523.1620000000003</v>
      </c>
      <c r="GD19" s="29"/>
      <c r="GE19" s="53">
        <f t="shared" si="68"/>
        <v>2523.1620000000003</v>
      </c>
      <c r="GF19" s="54">
        <f t="shared" si="11"/>
        <v>978.52572547975558</v>
      </c>
      <c r="GG19" s="26"/>
      <c r="GH19" s="52">
        <f>('Safety and Crash Costs'!$V$24+'Safety and Crash Costs'!$V$40)/20</f>
        <v>43497.4</v>
      </c>
      <c r="GI19" s="55">
        <f>'Health - Emissions'!FL18</f>
        <v>3.929919979788318</v>
      </c>
      <c r="GJ19" s="36"/>
      <c r="GK19" s="56">
        <f>'Health - Emissions'!FM18</f>
        <v>2.5773672541070076</v>
      </c>
      <c r="GL19" s="56">
        <f>'Health - Mortality'!BB16</f>
        <v>1351.7620585808274</v>
      </c>
      <c r="GM19" s="56">
        <f>'Health - Emissions'!FD18*'Economic Activity'!$C$3</f>
        <v>70.100945815985199</v>
      </c>
      <c r="GN19" s="36"/>
      <c r="GO19" s="36"/>
      <c r="GP19" s="36"/>
      <c r="GQ19" s="56">
        <f t="shared" si="54"/>
        <v>44925.770291630703</v>
      </c>
      <c r="GR19" s="57">
        <f t="shared" si="33"/>
        <v>17424.062334428421</v>
      </c>
      <c r="GS19" s="28">
        <f>'Capital Cost'!N15</f>
        <v>0</v>
      </c>
      <c r="GT19" s="53">
        <f>'O&amp;M'!$N$10</f>
        <v>4541.6970000000001</v>
      </c>
      <c r="GU19" s="29"/>
      <c r="GV19" s="53">
        <f t="shared" si="69"/>
        <v>4541.6970000000001</v>
      </c>
      <c r="GW19" s="54">
        <f t="shared" si="13"/>
        <v>1761.3484000766614</v>
      </c>
      <c r="GX19" s="26"/>
      <c r="GY19" s="52">
        <f>('Safety and Crash Costs'!$V$25+'Safety and Crash Costs'!$V$41)/20</f>
        <v>95168.4</v>
      </c>
      <c r="GZ19" s="55">
        <f>'Health - Emissions'!FZ18</f>
        <v>2.3414922754933221</v>
      </c>
      <c r="HA19" s="36"/>
      <c r="HB19" s="56">
        <f>'Health - Emissions'!GA18</f>
        <v>1.5356255464840427</v>
      </c>
      <c r="HC19" s="56">
        <f>'Health - Mortality'!BC16</f>
        <v>805.39564030574672</v>
      </c>
      <c r="HD19" s="56">
        <f>'Health - Emissions'!FR18*'Economic Activity'!$C$3</f>
        <v>41.766963189348857</v>
      </c>
      <c r="HE19" s="36"/>
      <c r="HF19" s="36"/>
      <c r="HG19" s="36"/>
      <c r="HH19" s="56">
        <f t="shared" si="55"/>
        <v>96019.439721317074</v>
      </c>
      <c r="HI19" s="57">
        <f t="shared" si="35"/>
        <v>37238.634127911901</v>
      </c>
      <c r="HJ19" s="28">
        <f>'Capital Cost'!O15</f>
        <v>0</v>
      </c>
      <c r="HK19" s="53">
        <f>'O&amp;M'!$O$10</f>
        <v>5217.3509999999997</v>
      </c>
      <c r="HL19" s="29"/>
      <c r="HM19" s="53">
        <f t="shared" si="70"/>
        <v>5217.3509999999997</v>
      </c>
      <c r="HN19" s="54">
        <f t="shared" si="15"/>
        <v>2023.3786702389809</v>
      </c>
      <c r="HO19" s="26"/>
      <c r="HP19" s="52">
        <f>('Safety and Crash Costs'!$V$26+'Safety and Crash Costs'!$V$42)/20</f>
        <v>142756.9</v>
      </c>
      <c r="HQ19" s="55">
        <f>'Health - Emissions'!GN18</f>
        <v>7.1551740192339768</v>
      </c>
      <c r="HR19" s="36"/>
      <c r="HS19" s="56">
        <f>'Health - Emissions'!GO18</f>
        <v>4.6925920399031158</v>
      </c>
      <c r="HT19" s="56">
        <f>'Health - Mortality'!BD16</f>
        <v>2461.1424180358886</v>
      </c>
      <c r="HU19" s="56">
        <f>'Health - Emissions'!GF18*'Economic Activity'!$C$3</f>
        <v>127.63223394011283</v>
      </c>
      <c r="HV19" s="36"/>
      <c r="HW19" s="36"/>
      <c r="HX19" s="36"/>
      <c r="HY19" s="56">
        <f t="shared" si="56"/>
        <v>145357.52241803514</v>
      </c>
      <c r="HZ19" s="57">
        <f t="shared" si="37"/>
        <v>56374.108818377048</v>
      </c>
      <c r="IA19" s="28">
        <f>'Capital Cost'!P15</f>
        <v>0</v>
      </c>
      <c r="IB19" s="53">
        <f>'O&amp;M'!$P$10</f>
        <v>10253.235000000001</v>
      </c>
      <c r="IC19" s="29"/>
      <c r="ID19" s="53">
        <f t="shared" si="71"/>
        <v>10253.235000000001</v>
      </c>
      <c r="IE19" s="54">
        <f t="shared" si="17"/>
        <v>3976.3813092022715</v>
      </c>
      <c r="IF19" s="26"/>
      <c r="IG19" s="52">
        <f>('Safety and Crash Costs'!$V$27+'Safety and Crash Costs'!$V$43)/20</f>
        <v>137635.97500000001</v>
      </c>
      <c r="IH19" s="55">
        <f>'Health - Emissions'!HB18</f>
        <v>7.5243137288479085</v>
      </c>
      <c r="II19" s="36"/>
      <c r="IJ19" s="56">
        <f>'Health - Emissions'!HC18</f>
        <v>4.9346856714891629</v>
      </c>
      <c r="IK19" s="56">
        <f>'Health - Mortality'!BE16</f>
        <v>2588.1142282350716</v>
      </c>
      <c r="IL19" s="56">
        <f>'Health - Emissions'!GT18*'Economic Activity'!$C$3</f>
        <v>134.2168572696618</v>
      </c>
      <c r="IM19" s="36"/>
      <c r="IN19" s="36"/>
      <c r="IO19" s="36"/>
      <c r="IP19" s="56">
        <f t="shared" si="57"/>
        <v>140370.76508490508</v>
      </c>
      <c r="IQ19" s="57">
        <f t="shared" si="39"/>
        <v>54440.259233910765</v>
      </c>
      <c r="IR19" s="28">
        <f>'Capital Cost'!Q15</f>
        <v>0</v>
      </c>
      <c r="IS19" s="53">
        <f>'O&amp;M'!$Q$10</f>
        <v>9677.1810000000005</v>
      </c>
      <c r="IT19" s="29"/>
      <c r="IU19" s="53">
        <f t="shared" si="72"/>
        <v>9677.1810000000005</v>
      </c>
      <c r="IV19" s="54">
        <f t="shared" si="19"/>
        <v>3752.9776362452772</v>
      </c>
      <c r="IW19" s="26"/>
    </row>
    <row r="20" spans="1:257" x14ac:dyDescent="0.3">
      <c r="A20">
        <v>15</v>
      </c>
      <c r="B20" s="34">
        <v>2036</v>
      </c>
      <c r="C20" s="52">
        <f>('Safety and Crash Costs'!$V$13+'Safety and Crash Costs'!$V$29)/20</f>
        <v>435297.07500000001</v>
      </c>
      <c r="D20" s="55">
        <f>'Health - Emissions'!N19</f>
        <v>29.589206486661389</v>
      </c>
      <c r="E20" s="35"/>
      <c r="F20" s="56">
        <f>'Health - Emissions'!O19</f>
        <v>18.866505264655281</v>
      </c>
      <c r="G20" s="56">
        <f>'Health - Mortality'!AQ17</f>
        <v>9894.9910821353224</v>
      </c>
      <c r="H20" s="56">
        <f>'Health - Emissions'!F19*'Economic Activity'!$C$3</f>
        <v>513.14373657347994</v>
      </c>
      <c r="I20" s="35"/>
      <c r="J20" s="36"/>
      <c r="K20" s="36"/>
      <c r="L20" s="56">
        <f t="shared" si="40"/>
        <v>445753.66553046007</v>
      </c>
      <c r="M20" s="57">
        <f t="shared" si="43"/>
        <v>161569.90950808895</v>
      </c>
      <c r="N20" s="28">
        <f>'Capital Cost'!C16</f>
        <v>0</v>
      </c>
      <c r="O20" s="53">
        <f>'O&amp;M'!$C$10</f>
        <v>12525.21</v>
      </c>
      <c r="P20" s="29"/>
      <c r="Q20" s="53">
        <f t="shared" si="58"/>
        <v>12525.21</v>
      </c>
      <c r="R20" s="54">
        <f t="shared" si="41"/>
        <v>4539.7125096846794</v>
      </c>
      <c r="S20" s="26"/>
      <c r="T20" s="52">
        <f>('Safety and Crash Costs'!$V$14+'Safety and Crash Costs'!$V$30)/20</f>
        <v>181788.7</v>
      </c>
      <c r="U20" s="55">
        <f>'Health - Emissions'!AB19</f>
        <v>5.3922851606614639</v>
      </c>
      <c r="V20" s="35"/>
      <c r="W20" s="56">
        <f>'Health - Emissions'!AC19</f>
        <v>3.4381988722138557</v>
      </c>
      <c r="X20" s="56">
        <f>'Health - Mortality'!AR17</f>
        <v>1803.2458424029933</v>
      </c>
      <c r="Y20" s="56">
        <f>'Health - Emissions'!T19*'Economic Activity'!$C$3</f>
        <v>93.514415713003459</v>
      </c>
      <c r="Z20" s="35"/>
      <c r="AA20" s="36"/>
      <c r="AB20" s="36"/>
      <c r="AC20" s="56">
        <f t="shared" si="44"/>
        <v>183694.29074214888</v>
      </c>
      <c r="AD20" s="57">
        <f t="shared" si="21"/>
        <v>66580.771200879099</v>
      </c>
      <c r="AE20" s="28">
        <f>'Capital Cost'!D16</f>
        <v>0</v>
      </c>
      <c r="AF20" s="53">
        <f>'O&amp;M'!$D$10</f>
        <v>4532.2169999999996</v>
      </c>
      <c r="AG20" s="29"/>
      <c r="AH20" s="53">
        <f t="shared" si="59"/>
        <v>4532.2169999999996</v>
      </c>
      <c r="AI20" s="54">
        <f t="shared" si="42"/>
        <v>1642.6840118054363</v>
      </c>
      <c r="AJ20" s="26"/>
      <c r="AK20" s="52">
        <f>('Safety and Crash Costs'!$V$15+'Safety and Crash Costs'!$V$31)/20</f>
        <v>164338.04999999999</v>
      </c>
      <c r="AL20" s="55">
        <f>'Health - Emissions'!AP19</f>
        <v>4.0977865738424777</v>
      </c>
      <c r="AM20" s="36"/>
      <c r="AN20" s="56">
        <f>'Health - Emissions'!AQ19</f>
        <v>2.6128078832963659</v>
      </c>
      <c r="AO20" s="56">
        <f>'Health - Mortality'!AS17</f>
        <v>1370.3497463828151</v>
      </c>
      <c r="AP20" s="56">
        <f>'Health - Emissions'!AH19*'Economic Activity'!$C$3</f>
        <v>71.064883579425285</v>
      </c>
      <c r="AQ20" s="35"/>
      <c r="AR20" s="36"/>
      <c r="AS20" s="36"/>
      <c r="AT20" s="56">
        <f t="shared" si="73"/>
        <v>165786.17522441936</v>
      </c>
      <c r="AU20" s="57">
        <f t="shared" si="22"/>
        <v>60089.684308658856</v>
      </c>
      <c r="AV20" s="28">
        <f>'Capital Cost'!I16</f>
        <v>0</v>
      </c>
      <c r="AW20" s="53">
        <f>'O&amp;M'!$E$10</f>
        <v>8343.6509999999998</v>
      </c>
      <c r="AX20" s="29"/>
      <c r="AY20" s="53">
        <f t="shared" si="60"/>
        <v>8343.6509999999998</v>
      </c>
      <c r="AZ20" s="54">
        <f t="shared" si="0"/>
        <v>3024.1230942349939</v>
      </c>
      <c r="BA20" s="26"/>
      <c r="BB20" s="52">
        <f>('Safety and Crash Costs'!$V$16+'Safety and Crash Costs'!$V$32)/20</f>
        <v>24774.025000000001</v>
      </c>
      <c r="BC20" s="55">
        <f>'Health - Emissions'!BD19</f>
        <v>1.5092536520919542</v>
      </c>
      <c r="BD20" s="36"/>
      <c r="BE20" s="56">
        <f>'Health - Emissions'!BE19</f>
        <v>0.96232191916769061</v>
      </c>
      <c r="BF20" s="56">
        <f>'Health - Mortality'!AT17</f>
        <v>504.71280582878154</v>
      </c>
      <c r="BG20" s="56">
        <f>'Health - Emissions'!AV19*'Economic Activity'!$C$3</f>
        <v>26.173870489590836</v>
      </c>
      <c r="BH20" s="36"/>
      <c r="BI20" s="36"/>
      <c r="BJ20" s="36"/>
      <c r="BK20" s="56">
        <f t="shared" si="46"/>
        <v>25307.383251889634</v>
      </c>
      <c r="BL20" s="57">
        <f t="shared" si="23"/>
        <v>9172.9820367205302</v>
      </c>
      <c r="BM20" s="28">
        <f>'Capital Cost'!H16</f>
        <v>0</v>
      </c>
      <c r="BN20" s="53">
        <f>'O&amp;M'!$F$10</f>
        <v>2683.1880000000001</v>
      </c>
      <c r="BO20" s="29"/>
      <c r="BP20" s="53">
        <f t="shared" si="61"/>
        <v>2683.1880000000001</v>
      </c>
      <c r="BQ20" s="54">
        <f t="shared" si="1"/>
        <v>972.51081055214377</v>
      </c>
      <c r="BR20" s="26"/>
      <c r="BS20" s="52">
        <f>('Safety and Crash Costs'!$V$17+'Safety and Crash Costs'!$V$33)/20</f>
        <v>127904.325</v>
      </c>
      <c r="BT20" s="55">
        <f>'Health - Emissions'!BR19</f>
        <v>1.2839457517959851</v>
      </c>
      <c r="BU20" s="36"/>
      <c r="BV20" s="56">
        <f>'Health - Emissions'!BS19</f>
        <v>0.81866234894506384</v>
      </c>
      <c r="BW20" s="56">
        <f>'Health - Mortality'!AU17</f>
        <v>429.3670994419524</v>
      </c>
      <c r="BX20" s="56">
        <f>'Health - Emissions'!BJ19*'Economic Activity'!$C$3</f>
        <v>22.266522116138599</v>
      </c>
      <c r="BY20" s="36"/>
      <c r="BZ20" s="36"/>
      <c r="CA20" s="36"/>
      <c r="CB20" s="56">
        <f t="shared" si="47"/>
        <v>128358.06122965884</v>
      </c>
      <c r="CC20" s="57">
        <f t="shared" si="24"/>
        <v>46523.227136593559</v>
      </c>
      <c r="CD20" s="28">
        <f>'Capital Cost'!G16</f>
        <v>0</v>
      </c>
      <c r="CE20" s="53">
        <f>'O&amp;M'!$G$10</f>
        <v>4052.67</v>
      </c>
      <c r="CF20" s="29"/>
      <c r="CG20" s="53">
        <f t="shared" si="62"/>
        <v>4052.67</v>
      </c>
      <c r="CH20" s="54">
        <f t="shared" si="2"/>
        <v>1468.8741104240019</v>
      </c>
      <c r="CI20" s="26"/>
      <c r="CJ20" s="52">
        <f>('Safety and Crash Costs'!$V$18+'Safety and Crash Costs'!$V$34)/20</f>
        <v>11114.924999999999</v>
      </c>
      <c r="CK20" s="55">
        <f>'Health - Emissions'!CF19</f>
        <v>0.66320924207215992</v>
      </c>
      <c r="CL20" s="36"/>
      <c r="CM20" s="56">
        <f>'Health - Emissions'!CG19</f>
        <v>0.42287178815568993</v>
      </c>
      <c r="CN20" s="56">
        <f>'Health - Mortality'!AV17</f>
        <v>221.78524925472587</v>
      </c>
      <c r="CO20" s="56">
        <f>'Health - Emissions'!BX19*'Economic Activity'!$C$3</f>
        <v>11.501547659292193</v>
      </c>
      <c r="CP20" s="36"/>
      <c r="CQ20" s="36"/>
      <c r="CR20" s="36"/>
      <c r="CS20" s="56">
        <f t="shared" si="48"/>
        <v>11349.297877944246</v>
      </c>
      <c r="CT20" s="57">
        <f t="shared" si="25"/>
        <v>4113.6931528220402</v>
      </c>
      <c r="CU20" s="28">
        <f>'Capital Cost'!F16</f>
        <v>0</v>
      </c>
      <c r="CV20" s="53">
        <f>'O&amp;M'!$H$10</f>
        <v>1817.1089999999999</v>
      </c>
      <c r="CW20" s="29"/>
      <c r="CX20" s="53">
        <f t="shared" si="63"/>
        <v>1817.1089999999999</v>
      </c>
      <c r="CY20" s="54">
        <f t="shared" si="4"/>
        <v>658.6039243063085</v>
      </c>
      <c r="CZ20" s="26"/>
      <c r="DA20" s="52">
        <f>('Safety and Crash Costs'!$V$19+'Safety and Crash Costs'!$V$35)/20</f>
        <v>437404.52500000002</v>
      </c>
      <c r="DB20" s="55">
        <f>'Health - Emissions'!CT19</f>
        <v>29.252808312740932</v>
      </c>
      <c r="DC20" s="36"/>
      <c r="DD20" s="56">
        <f>'Health - Emissions'!CU19</f>
        <v>18.652012932049075</v>
      </c>
      <c r="DE20" s="56">
        <f>'Health - Mortality'!AW17</f>
        <v>9782.4954350320422</v>
      </c>
      <c r="DF20" s="56">
        <f>'Health - Emissions'!CL19*'Economic Activity'!$C$3</f>
        <v>507.30983169942203</v>
      </c>
      <c r="DG20" s="36"/>
      <c r="DH20" s="36"/>
      <c r="DI20" s="36"/>
      <c r="DJ20" s="56">
        <f t="shared" si="49"/>
        <v>447742.23508797633</v>
      </c>
      <c r="DK20" s="57">
        <f t="shared" si="26"/>
        <v>162290.56463398479</v>
      </c>
      <c r="DL20" s="28">
        <f>'Capital Cost'!E16</f>
        <v>0</v>
      </c>
      <c r="DM20" s="53">
        <f>'O&amp;M'!$I$10</f>
        <v>12625.473</v>
      </c>
      <c r="DN20" s="29"/>
      <c r="DO20" s="53">
        <f t="shared" si="64"/>
        <v>12625.473</v>
      </c>
      <c r="DP20" s="54">
        <f t="shared" si="5"/>
        <v>4576.052434952082</v>
      </c>
      <c r="DQ20" s="26"/>
      <c r="DR20" s="52">
        <f>('Safety and Crash Costs'!$V$20+'Safety and Crash Costs'!$V$36)/20</f>
        <v>338656.9</v>
      </c>
      <c r="DS20" s="55">
        <f>'Health - Emissions'!DH19</f>
        <v>10.682647970230075</v>
      </c>
      <c r="DT20" s="36"/>
      <c r="DU20" s="56">
        <f>'Health - Emissions'!DI19</f>
        <v>6.8114105818167019</v>
      </c>
      <c r="DV20" s="56">
        <f>'Health - Mortality'!AX17</f>
        <v>3572.4076090607082</v>
      </c>
      <c r="DW20" s="56">
        <f>'Health - Emissions'!CZ19*'Economic Activity'!$C$3</f>
        <v>185.26126742919212</v>
      </c>
      <c r="DX20" s="36"/>
      <c r="DY20" s="36"/>
      <c r="DZ20" s="36"/>
      <c r="EA20" s="56">
        <f t="shared" si="50"/>
        <v>342432.06293504196</v>
      </c>
      <c r="EB20" s="57">
        <f t="shared" si="27"/>
        <v>124116.12311072144</v>
      </c>
      <c r="EC20" s="28">
        <f>'Capital Cost'!K16</f>
        <v>0</v>
      </c>
      <c r="ED20" s="53">
        <f>'O&amp;M'!$J$10</f>
        <v>6594.4049999999997</v>
      </c>
      <c r="EE20" s="29"/>
      <c r="EF20" s="53">
        <f t="shared" si="65"/>
        <v>6594.4049999999997</v>
      </c>
      <c r="EG20" s="54">
        <f t="shared" si="7"/>
        <v>2390.1158441596749</v>
      </c>
      <c r="EH20" s="26"/>
      <c r="EI20" s="52">
        <f>('Safety and Crash Costs'!$V$21+'Safety and Crash Costs'!$V$37)/20</f>
        <v>143994.92499999999</v>
      </c>
      <c r="EJ20" s="55">
        <f>'Health - Emissions'!DV19</f>
        <v>4.1716485785067663</v>
      </c>
      <c r="EK20" s="36"/>
      <c r="EL20" s="56">
        <f>'Health - Emissions'!DW19</f>
        <v>2.6599033638894318</v>
      </c>
      <c r="EM20" s="56">
        <f>'Health - Mortality'!AY17</f>
        <v>1395.0501004727848</v>
      </c>
      <c r="EN20" s="56">
        <f>'Health - Emissions'!DN19*'Economic Activity'!$C$3</f>
        <v>72.345817729562995</v>
      </c>
      <c r="EO20" s="36"/>
      <c r="EP20" s="36"/>
      <c r="EQ20" s="36"/>
      <c r="ER20" s="56">
        <f t="shared" si="51"/>
        <v>145469.15247014473</v>
      </c>
      <c r="ES20" s="57">
        <f t="shared" si="28"/>
        <v>52725.88091860932</v>
      </c>
      <c r="ET20" s="28">
        <f>'Capital Cost'!J16</f>
        <v>0</v>
      </c>
      <c r="EU20" s="53">
        <f>'O&amp;M'!$K$10</f>
        <v>6250.6319999999996</v>
      </c>
      <c r="EV20" s="29"/>
      <c r="EW20" s="53">
        <f t="shared" si="66"/>
        <v>6250.6319999999996</v>
      </c>
      <c r="EX20" s="54">
        <f t="shared" si="8"/>
        <v>2265.5166886491616</v>
      </c>
      <c r="EY20" s="26"/>
      <c r="EZ20" s="52">
        <f>('Safety and Crash Costs'!$V$22+'Safety and Crash Costs'!$V$38)/20</f>
        <v>212730</v>
      </c>
      <c r="FA20" s="55">
        <f>'Health - Emissions'!EJ19</f>
        <v>6.8941605065383937</v>
      </c>
      <c r="FB20" s="36"/>
      <c r="FC20" s="56">
        <f>'Health - Emissions'!EK19</f>
        <v>4.395816276810911</v>
      </c>
      <c r="FD20" s="56">
        <f>'Health - Mortality'!AZ17</f>
        <v>2305.4912527566089</v>
      </c>
      <c r="FE20" s="56">
        <f>'Health - Emissions'!EB19*'Economic Activity'!$C$3</f>
        <v>119.5603296917474</v>
      </c>
      <c r="FF20" s="36"/>
      <c r="FG20" s="36"/>
      <c r="FH20" s="36"/>
      <c r="FI20" s="56">
        <f t="shared" si="52"/>
        <v>215166.34155923172</v>
      </c>
      <c r="FJ20" s="57">
        <f t="shared" si="30"/>
        <v>77988.110397405981</v>
      </c>
      <c r="FK20" s="28">
        <f>'Capital Cost'!L16</f>
        <v>0</v>
      </c>
      <c r="FL20" s="53">
        <f>'O&amp;M'!$L$10</f>
        <v>7062.8190000000004</v>
      </c>
      <c r="FM20" s="29"/>
      <c r="FN20" s="53">
        <f t="shared" si="67"/>
        <v>7062.8190000000004</v>
      </c>
      <c r="FO20" s="54">
        <f t="shared" si="10"/>
        <v>2559.8906340044314</v>
      </c>
      <c r="FP20" s="26"/>
      <c r="FQ20" s="52">
        <f>('Safety and Crash Costs'!$V$23+'Safety and Crash Costs'!$V$39)/20</f>
        <v>36292.275000000001</v>
      </c>
      <c r="FR20" s="55">
        <f>'Health - Emissions'!EX19</f>
        <v>0.99672037168647032</v>
      </c>
      <c r="FS20" s="36"/>
      <c r="FT20" s="56">
        <f>'Health - Emissions'!EY19</f>
        <v>0.63552329962917264</v>
      </c>
      <c r="FU20" s="56">
        <f>'Health - Mortality'!BA17</f>
        <v>333.3154335742729</v>
      </c>
      <c r="FV20" s="56">
        <f>'Health - Emissions'!EP19*'Economic Activity'!$C$3</f>
        <v>17.285384657972028</v>
      </c>
      <c r="FW20" s="36"/>
      <c r="FX20" s="36"/>
      <c r="FY20" s="36"/>
      <c r="FZ20" s="56">
        <f t="shared" si="53"/>
        <v>36644.508061903565</v>
      </c>
      <c r="GA20" s="57">
        <f t="shared" si="31"/>
        <v>13281.934588336673</v>
      </c>
      <c r="GB20" s="28">
        <f>'Capital Cost'!M16</f>
        <v>0</v>
      </c>
      <c r="GC20" s="53">
        <f>'O&amp;M'!$M$10</f>
        <v>2523.1620000000003</v>
      </c>
      <c r="GD20" s="29"/>
      <c r="GE20" s="53">
        <f t="shared" si="68"/>
        <v>2523.1620000000003</v>
      </c>
      <c r="GF20" s="54">
        <f t="shared" si="11"/>
        <v>914.51002381285559</v>
      </c>
      <c r="GG20" s="26"/>
      <c r="GH20" s="52">
        <f>('Safety and Crash Costs'!$V$24+'Safety and Crash Costs'!$V$40)/20</f>
        <v>43497.4</v>
      </c>
      <c r="GI20" s="55">
        <f>'Health - Emissions'!FL19</f>
        <v>4.7294652536378763</v>
      </c>
      <c r="GJ20" s="36"/>
      <c r="GK20" s="56">
        <f>'Health - Emissions'!FM19</f>
        <v>3.0155753297063512</v>
      </c>
      <c r="GL20" s="56">
        <f>'Health - Mortality'!BB17</f>
        <v>1581.5907915310902</v>
      </c>
      <c r="GM20" s="56">
        <f>'Health - Emissions'!FD19*'Economic Activity'!$C$3</f>
        <v>82.019620003672912</v>
      </c>
      <c r="GN20" s="36"/>
      <c r="GO20" s="36"/>
      <c r="GP20" s="36"/>
      <c r="GQ20" s="56">
        <f t="shared" si="54"/>
        <v>45168.755452118108</v>
      </c>
      <c r="GR20" s="57">
        <f t="shared" si="33"/>
        <v>16372.557113740968</v>
      </c>
      <c r="GS20" s="28">
        <f>'Capital Cost'!N16</f>
        <v>0</v>
      </c>
      <c r="GT20" s="53">
        <f>'O&amp;M'!$N$10</f>
        <v>4541.6970000000001</v>
      </c>
      <c r="GU20" s="29"/>
      <c r="GV20" s="53">
        <f t="shared" si="69"/>
        <v>4541.6970000000001</v>
      </c>
      <c r="GW20" s="54">
        <f t="shared" si="13"/>
        <v>1646.120000071646</v>
      </c>
      <c r="GX20" s="26"/>
      <c r="GY20" s="52">
        <f>('Safety and Crash Costs'!$V$25+'Safety and Crash Costs'!$V$41)/20</f>
        <v>95168.4</v>
      </c>
      <c r="GZ20" s="55">
        <f>'Health - Emissions'!FZ19</f>
        <v>2.817870698528484</v>
      </c>
      <c r="HA20" s="36"/>
      <c r="HB20" s="56">
        <f>'Health - Emissions'!GA19</f>
        <v>1.7967150417795485</v>
      </c>
      <c r="HC20" s="56">
        <f>'Health - Mortality'!BC17</f>
        <v>942.33028672530168</v>
      </c>
      <c r="HD20" s="56">
        <f>'Health - Emissions'!FR19*'Economic Activity'!$C$3</f>
        <v>48.868248632340411</v>
      </c>
      <c r="HE20" s="36"/>
      <c r="HF20" s="36"/>
      <c r="HG20" s="36"/>
      <c r="HH20" s="56">
        <f t="shared" si="55"/>
        <v>96164.213121097957</v>
      </c>
      <c r="HI20" s="57">
        <f t="shared" si="35"/>
        <v>34855.123635737051</v>
      </c>
      <c r="HJ20" s="28">
        <f>'Capital Cost'!O16</f>
        <v>0</v>
      </c>
      <c r="HK20" s="53">
        <f>'O&amp;M'!$O$10</f>
        <v>5217.3509999999997</v>
      </c>
      <c r="HL20" s="29"/>
      <c r="HM20" s="53">
        <f t="shared" si="70"/>
        <v>5217.3509999999997</v>
      </c>
      <c r="HN20" s="54">
        <f t="shared" si="15"/>
        <v>1891.0081030270846</v>
      </c>
      <c r="HO20" s="26"/>
      <c r="HP20" s="52">
        <f>('Safety and Crash Costs'!$V$26+'Safety and Crash Costs'!$V$42)/20</f>
        <v>142756.9</v>
      </c>
      <c r="HQ20" s="55">
        <f>'Health - Emissions'!GN19</f>
        <v>8.61089973377074</v>
      </c>
      <c r="HR20" s="36"/>
      <c r="HS20" s="56">
        <f>'Health - Emissions'!GO19</f>
        <v>5.4904339943634239</v>
      </c>
      <c r="HT20" s="56">
        <f>'Health - Mortality'!BD17</f>
        <v>2879.589762342313</v>
      </c>
      <c r="HU20" s="56">
        <f>'Health - Emissions'!GF19*'Economic Activity'!$C$3</f>
        <v>149.3324691433881</v>
      </c>
      <c r="HV20" s="36"/>
      <c r="HW20" s="36"/>
      <c r="HX20" s="36"/>
      <c r="HY20" s="56">
        <f t="shared" si="56"/>
        <v>145799.9235652138</v>
      </c>
      <c r="HZ20" s="57">
        <f t="shared" si="37"/>
        <v>52847.007982909934</v>
      </c>
      <c r="IA20" s="28">
        <f>'Capital Cost'!P16</f>
        <v>0</v>
      </c>
      <c r="IB20" s="53">
        <f>'O&amp;M'!$P$10</f>
        <v>10253.235000000001</v>
      </c>
      <c r="IC20" s="29"/>
      <c r="ID20" s="53">
        <f t="shared" si="71"/>
        <v>10253.235000000001</v>
      </c>
      <c r="IE20" s="54">
        <f t="shared" si="17"/>
        <v>3716.2442142077298</v>
      </c>
      <c r="IF20" s="26"/>
      <c r="IG20" s="52">
        <f>('Safety and Crash Costs'!$V$27+'Safety and Crash Costs'!$V$43)/20</f>
        <v>137635.97500000001</v>
      </c>
      <c r="IH20" s="55">
        <f>'Health - Emissions'!HB19</f>
        <v>9.0551412041660537</v>
      </c>
      <c r="II20" s="36"/>
      <c r="IJ20" s="56">
        <f>'Health - Emissions'!HC19</f>
        <v>5.7736887698427743</v>
      </c>
      <c r="IK20" s="56">
        <f>'Health - Mortality'!BE17</f>
        <v>3028.1495214510237</v>
      </c>
      <c r="IL20" s="56">
        <f>'Health - Emissions'!GT19*'Economic Activity'!$C$3</f>
        <v>157.03662059342145</v>
      </c>
      <c r="IM20" s="36"/>
      <c r="IN20" s="36"/>
      <c r="IO20" s="36"/>
      <c r="IP20" s="56">
        <f t="shared" si="57"/>
        <v>140835.98997201846</v>
      </c>
      <c r="IQ20" s="57">
        <f t="shared" si="39"/>
        <v>51047.97413842989</v>
      </c>
      <c r="IR20" s="28">
        <f>'Capital Cost'!Q16</f>
        <v>0</v>
      </c>
      <c r="IS20" s="53">
        <f>'O&amp;M'!$Q$10</f>
        <v>9677.1810000000005</v>
      </c>
      <c r="IT20" s="29"/>
      <c r="IU20" s="53">
        <f t="shared" si="72"/>
        <v>9677.1810000000005</v>
      </c>
      <c r="IV20" s="54">
        <f t="shared" si="19"/>
        <v>3507.4557348086701</v>
      </c>
      <c r="IW20" s="26"/>
    </row>
    <row r="21" spans="1:257" x14ac:dyDescent="0.3">
      <c r="A21">
        <v>16</v>
      </c>
      <c r="B21" s="34">
        <v>2037</v>
      </c>
      <c r="C21" s="52">
        <f>('Safety and Crash Costs'!$V$13+'Safety and Crash Costs'!$V$29)/20</f>
        <v>435297.07500000001</v>
      </c>
      <c r="D21" s="55">
        <f>'Health - Emissions'!N20</f>
        <v>34.55522359350001</v>
      </c>
      <c r="E21" s="35"/>
      <c r="F21" s="56">
        <f>'Health - Emissions'!O20</f>
        <v>21.731088793607469</v>
      </c>
      <c r="G21" s="56">
        <f>'Health - Mortality'!AQ18</f>
        <v>11397.390603159254</v>
      </c>
      <c r="H21" s="56">
        <f>'Health - Emissions'!F20*'Economic Activity'!$C$3</f>
        <v>591.05658132948133</v>
      </c>
      <c r="I21" s="35"/>
      <c r="J21" s="36"/>
      <c r="K21" s="36"/>
      <c r="L21" s="56">
        <f t="shared" si="40"/>
        <v>447341.80849687586</v>
      </c>
      <c r="M21" s="57">
        <f t="shared" si="43"/>
        <v>151539.97620194708</v>
      </c>
      <c r="N21" s="28">
        <f>'Capital Cost'!C17</f>
        <v>0</v>
      </c>
      <c r="O21" s="53">
        <f>'O&amp;M'!$C$10</f>
        <v>12525.21</v>
      </c>
      <c r="P21" s="29"/>
      <c r="Q21" s="53">
        <f t="shared" si="58"/>
        <v>12525.21</v>
      </c>
      <c r="R21" s="54">
        <f t="shared" si="41"/>
        <v>4242.7219716679256</v>
      </c>
      <c r="S21" s="26"/>
      <c r="T21" s="52">
        <f>('Safety and Crash Costs'!$V$14+'Safety and Crash Costs'!$V$30)/20</f>
        <v>181788.7</v>
      </c>
      <c r="U21" s="55">
        <f>'Health - Emissions'!AB20</f>
        <v>6.2972834195660488</v>
      </c>
      <c r="V21" s="35"/>
      <c r="W21" s="56">
        <f>'Health - Emissions'!AC20</f>
        <v>3.9602355568274596</v>
      </c>
      <c r="X21" s="56">
        <f>'Health - Mortality'!AR18</f>
        <v>2077.0404994599262</v>
      </c>
      <c r="Y21" s="56">
        <f>'Health - Emissions'!T20*'Economic Activity'!$C$3</f>
        <v>107.7131160665292</v>
      </c>
      <c r="Z21" s="35"/>
      <c r="AA21" s="36"/>
      <c r="AB21" s="36"/>
      <c r="AC21" s="56">
        <f t="shared" si="44"/>
        <v>183983.71113450284</v>
      </c>
      <c r="AD21" s="57">
        <f t="shared" si="21"/>
        <v>62323.4395433389</v>
      </c>
      <c r="AE21" s="28">
        <f>'Capital Cost'!D17</f>
        <v>0</v>
      </c>
      <c r="AF21" s="53">
        <f>'O&amp;M'!$D$10</f>
        <v>4532.2169999999996</v>
      </c>
      <c r="AG21" s="29"/>
      <c r="AH21" s="53">
        <f t="shared" si="59"/>
        <v>4532.2169999999996</v>
      </c>
      <c r="AI21" s="54">
        <f t="shared" si="42"/>
        <v>1535.2187026219033</v>
      </c>
      <c r="AJ21" s="26"/>
      <c r="AK21" s="52">
        <f>('Safety and Crash Costs'!$V$15+'Safety and Crash Costs'!$V$31)/20</f>
        <v>164338.04999999999</v>
      </c>
      <c r="AL21" s="55">
        <f>'Health - Emissions'!AP20</f>
        <v>4.7855264845105383</v>
      </c>
      <c r="AM21" s="36"/>
      <c r="AN21" s="56">
        <f>'Health - Emissions'!AQ20</f>
        <v>3.0095218651289688</v>
      </c>
      <c r="AO21" s="56">
        <f>'Health - Mortality'!AS18</f>
        <v>1578.4159068786878</v>
      </c>
      <c r="AP21" s="56">
        <f>'Health - Emissions'!AH20*'Economic Activity'!$C$3</f>
        <v>81.854973854909332</v>
      </c>
      <c r="AQ21" s="35"/>
      <c r="AR21" s="36"/>
      <c r="AS21" s="36"/>
      <c r="AT21" s="56">
        <f t="shared" si="73"/>
        <v>166006.11592908323</v>
      </c>
      <c r="AU21" s="57">
        <f t="shared" si="22"/>
        <v>56233.376069516336</v>
      </c>
      <c r="AV21" s="28">
        <f>'Capital Cost'!I17</f>
        <v>0</v>
      </c>
      <c r="AW21" s="53">
        <f>'O&amp;M'!$E$10</f>
        <v>8343.6509999999998</v>
      </c>
      <c r="AX21" s="29"/>
      <c r="AY21" s="53">
        <f t="shared" si="60"/>
        <v>8343.6509999999998</v>
      </c>
      <c r="AZ21" s="54">
        <f t="shared" si="0"/>
        <v>2826.2832656401815</v>
      </c>
      <c r="BA21" s="26"/>
      <c r="BB21" s="52">
        <f>('Safety and Crash Costs'!$V$16+'Safety and Crash Costs'!$V$32)/20</f>
        <v>24774.025000000001</v>
      </c>
      <c r="BC21" s="55">
        <f>'Health - Emissions'!BD20</f>
        <v>1.7625547826317667</v>
      </c>
      <c r="BD21" s="36"/>
      <c r="BE21" s="56">
        <f>'Health - Emissions'!BE20</f>
        <v>1.1084354404864349</v>
      </c>
      <c r="BF21" s="56">
        <f>'Health - Mortality'!AT18</f>
        <v>581.34554571076319</v>
      </c>
      <c r="BG21" s="56">
        <f>'Health - Emissions'!AV20*'Economic Activity'!$C$3</f>
        <v>30.147963054252109</v>
      </c>
      <c r="BH21" s="36"/>
      <c r="BI21" s="36"/>
      <c r="BJ21" s="36"/>
      <c r="BK21" s="56">
        <f t="shared" si="46"/>
        <v>25388.389498988134</v>
      </c>
      <c r="BL21" s="57">
        <f t="shared" si="23"/>
        <v>8600.4272332268247</v>
      </c>
      <c r="BM21" s="28">
        <f>'Capital Cost'!H17</f>
        <v>0</v>
      </c>
      <c r="BN21" s="53">
        <f>'O&amp;M'!$F$10</f>
        <v>2683.1880000000001</v>
      </c>
      <c r="BO21" s="29"/>
      <c r="BP21" s="53">
        <f t="shared" si="61"/>
        <v>2683.1880000000001</v>
      </c>
      <c r="BQ21" s="54">
        <f t="shared" si="1"/>
        <v>908.88860799265785</v>
      </c>
      <c r="BR21" s="26"/>
      <c r="BS21" s="52">
        <f>('Safety and Crash Costs'!$V$17+'Safety and Crash Costs'!$V$33)/20</f>
        <v>127904.325</v>
      </c>
      <c r="BT21" s="55">
        <f>'Health - Emissions'!BR20</f>
        <v>1.4994329961242809</v>
      </c>
      <c r="BU21" s="36"/>
      <c r="BV21" s="56">
        <f>'Health - Emissions'!BS20</f>
        <v>0.9429634130618354</v>
      </c>
      <c r="BW21" s="56">
        <f>'Health - Mortality'!AU18</f>
        <v>494.55977310789098</v>
      </c>
      <c r="BX21" s="56">
        <f>'Health - Emissions'!BJ20*'Economic Activity'!$C$3</f>
        <v>25.647344987475243</v>
      </c>
      <c r="BY21" s="36"/>
      <c r="BZ21" s="36"/>
      <c r="CA21" s="36"/>
      <c r="CB21" s="56">
        <f t="shared" si="47"/>
        <v>128426.97451450455</v>
      </c>
      <c r="CC21" s="57">
        <f t="shared" si="24"/>
        <v>43503.086045642522</v>
      </c>
      <c r="CD21" s="28">
        <f>'Capital Cost'!G17</f>
        <v>0</v>
      </c>
      <c r="CE21" s="53">
        <f>'O&amp;M'!$G$10</f>
        <v>4052.67</v>
      </c>
      <c r="CF21" s="29"/>
      <c r="CG21" s="53">
        <f t="shared" si="62"/>
        <v>4052.67</v>
      </c>
      <c r="CH21" s="54">
        <f t="shared" si="2"/>
        <v>1372.7795424523383</v>
      </c>
      <c r="CI21" s="26"/>
      <c r="CJ21" s="52">
        <f>('Safety and Crash Costs'!$V$18+'Safety and Crash Costs'!$V$34)/20</f>
        <v>11114.924999999999</v>
      </c>
      <c r="CK21" s="55">
        <f>'Health - Emissions'!CF20</f>
        <v>0.77451700705154569</v>
      </c>
      <c r="CL21" s="36"/>
      <c r="CM21" s="56">
        <f>'Health - Emissions'!CG20</f>
        <v>0.48707825046637077</v>
      </c>
      <c r="CN21" s="56">
        <f>'Health - Mortality'!AV18</f>
        <v>255.45986800724404</v>
      </c>
      <c r="CO21" s="56">
        <f>'Health - Emissions'!BX20*'Economic Activity'!$C$3</f>
        <v>13.247877650993972</v>
      </c>
      <c r="CP21" s="36"/>
      <c r="CQ21" s="36"/>
      <c r="CR21" s="36"/>
      <c r="CS21" s="56">
        <f t="shared" si="48"/>
        <v>11384.894340915756</v>
      </c>
      <c r="CT21" s="57">
        <f t="shared" si="25"/>
        <v>3856.6779032126501</v>
      </c>
      <c r="CU21" s="28">
        <f>'Capital Cost'!F17</f>
        <v>0</v>
      </c>
      <c r="CV21" s="53">
        <f>'O&amp;M'!$H$10</f>
        <v>1817.1089999999999</v>
      </c>
      <c r="CW21" s="29"/>
      <c r="CX21" s="53">
        <f t="shared" si="63"/>
        <v>1817.1089999999999</v>
      </c>
      <c r="CY21" s="54">
        <f t="shared" si="4"/>
        <v>615.51768626757814</v>
      </c>
      <c r="CZ21" s="26"/>
      <c r="DA21" s="52">
        <f>('Safety and Crash Costs'!$V$19+'Safety and Crash Costs'!$V$35)/20</f>
        <v>437404.52500000002</v>
      </c>
      <c r="DB21" s="55">
        <f>'Health - Emissions'!CT20</f>
        <v>34.162367025294756</v>
      </c>
      <c r="DC21" s="36"/>
      <c r="DD21" s="56">
        <f>'Health - Emissions'!CU20</f>
        <v>21.484029157494266</v>
      </c>
      <c r="DE21" s="56">
        <f>'Health - Mortality'!AW18</f>
        <v>11267.814252806997</v>
      </c>
      <c r="DF21" s="56">
        <f>'Health - Emissions'!CL20*'Economic Activity'!$C$3</f>
        <v>584.33688931163226</v>
      </c>
      <c r="DG21" s="36"/>
      <c r="DH21" s="36"/>
      <c r="DI21" s="36"/>
      <c r="DJ21" s="56">
        <f t="shared" si="49"/>
        <v>449312.32253830141</v>
      </c>
      <c r="DK21" s="57">
        <f t="shared" si="26"/>
        <v>152207.34574210836</v>
      </c>
      <c r="DL21" s="28">
        <f>'Capital Cost'!E17</f>
        <v>0</v>
      </c>
      <c r="DM21" s="53">
        <f>'O&amp;M'!$I$10</f>
        <v>12625.473</v>
      </c>
      <c r="DN21" s="29"/>
      <c r="DO21" s="53">
        <f t="shared" si="64"/>
        <v>12625.473</v>
      </c>
      <c r="DP21" s="54">
        <f t="shared" si="5"/>
        <v>4276.6845186468063</v>
      </c>
      <c r="DQ21" s="26"/>
      <c r="DR21" s="52">
        <f>('Safety and Crash Costs'!$V$20+'Safety and Crash Costs'!$V$36)/20</f>
        <v>338656.9</v>
      </c>
      <c r="DS21" s="55">
        <f>'Health - Emissions'!DH20</f>
        <v>12.475538651175244</v>
      </c>
      <c r="DT21" s="36"/>
      <c r="DU21" s="56">
        <f>'Health - Emissions'!DI20</f>
        <v>7.8456166675699812</v>
      </c>
      <c r="DV21" s="56">
        <f>'Health - Mortality'!AX18</f>
        <v>4114.8217897510904</v>
      </c>
      <c r="DW21" s="56">
        <f>'Health - Emissions'!CZ20*'Economic Activity'!$C$3</f>
        <v>213.3902912089529</v>
      </c>
      <c r="DX21" s="36"/>
      <c r="DY21" s="36"/>
      <c r="DZ21" s="36"/>
      <c r="EA21" s="56">
        <f t="shared" si="50"/>
        <v>343005.43323627877</v>
      </c>
      <c r="EB21" s="57">
        <f t="shared" si="27"/>
        <v>116191.35591600777</v>
      </c>
      <c r="EC21" s="28">
        <f>'Capital Cost'!K17</f>
        <v>0</v>
      </c>
      <c r="ED21" s="53">
        <f>'O&amp;M'!$J$10</f>
        <v>6594.4049999999997</v>
      </c>
      <c r="EE21" s="29"/>
      <c r="EF21" s="53">
        <f t="shared" si="65"/>
        <v>6594.4049999999997</v>
      </c>
      <c r="EG21" s="54">
        <f t="shared" si="7"/>
        <v>2233.7531253828738</v>
      </c>
      <c r="EH21" s="26"/>
      <c r="EI21" s="52">
        <f>('Safety and Crash Costs'!$V$21+'Safety and Crash Costs'!$V$37)/20</f>
        <v>143994.92499999999</v>
      </c>
      <c r="EJ21" s="55">
        <f>'Health - Emissions'!DV20</f>
        <v>4.8717849006458005</v>
      </c>
      <c r="EK21" s="36"/>
      <c r="EL21" s="56">
        <f>'Health - Emissions'!DW20</f>
        <v>3.0637680573192556</v>
      </c>
      <c r="EM21" s="56">
        <f>'Health - Mortality'!AY18</f>
        <v>1606.8666231312773</v>
      </c>
      <c r="EN21" s="56">
        <f>'Health - Emissions'!DN20*'Economic Activity'!$C$3</f>
        <v>83.330397806771543</v>
      </c>
      <c r="EO21" s="36"/>
      <c r="EP21" s="36"/>
      <c r="EQ21" s="36"/>
      <c r="ER21" s="56">
        <f t="shared" si="51"/>
        <v>145693.05757389599</v>
      </c>
      <c r="ES21" s="57">
        <f t="shared" si="28"/>
        <v>49352.664952236439</v>
      </c>
      <c r="ET21" s="28">
        <f>'Capital Cost'!J17</f>
        <v>0</v>
      </c>
      <c r="EU21" s="53">
        <f>'O&amp;M'!$K$10</f>
        <v>6250.6319999999996</v>
      </c>
      <c r="EV21" s="29"/>
      <c r="EW21" s="53">
        <f t="shared" si="66"/>
        <v>6250.6319999999996</v>
      </c>
      <c r="EX21" s="54">
        <f t="shared" si="8"/>
        <v>2117.3053164945441</v>
      </c>
      <c r="EY21" s="26"/>
      <c r="EZ21" s="52">
        <f>('Safety and Crash Costs'!$V$22+'Safety and Crash Costs'!$V$38)/20</f>
        <v>212730</v>
      </c>
      <c r="FA21" s="55">
        <f>'Health - Emissions'!EJ20</f>
        <v>8.0512215797440732</v>
      </c>
      <c r="FB21" s="36"/>
      <c r="FC21" s="56">
        <f>'Health - Emissions'!EK20</f>
        <v>5.0632521758400113</v>
      </c>
      <c r="FD21" s="56">
        <f>'Health - Mortality'!AZ18</f>
        <v>2655.544014311894</v>
      </c>
      <c r="FE21" s="56">
        <f>'Health - Emissions'!EB20*'Economic Activity'!$C$3</f>
        <v>137.71369441651694</v>
      </c>
      <c r="FF21" s="36"/>
      <c r="FG21" s="36"/>
      <c r="FH21" s="36"/>
      <c r="FI21" s="56">
        <f t="shared" si="52"/>
        <v>215536.37218248399</v>
      </c>
      <c r="FJ21" s="57">
        <f t="shared" si="30"/>
        <v>73011.916369576778</v>
      </c>
      <c r="FK21" s="28">
        <f>'Capital Cost'!L17</f>
        <v>0</v>
      </c>
      <c r="FL21" s="53">
        <f>'O&amp;M'!$L$10</f>
        <v>7062.8190000000004</v>
      </c>
      <c r="FM21" s="29"/>
      <c r="FN21" s="53">
        <f t="shared" si="67"/>
        <v>7062.8190000000004</v>
      </c>
      <c r="FO21" s="54">
        <f t="shared" si="10"/>
        <v>2392.4211532751697</v>
      </c>
      <c r="FP21" s="26"/>
      <c r="FQ21" s="52">
        <f>('Safety and Crash Costs'!$V$23+'Safety and Crash Costs'!$V$39)/20</f>
        <v>36292.275000000001</v>
      </c>
      <c r="FR21" s="55">
        <f>'Health - Emissions'!EX20</f>
        <v>1.1640019923936988</v>
      </c>
      <c r="FS21" s="36"/>
      <c r="FT21" s="56">
        <f>'Health - Emissions'!EY20</f>
        <v>0.73201756557007436</v>
      </c>
      <c r="FU21" s="56">
        <f>'Health - Mortality'!BA18</f>
        <v>383.92416516332707</v>
      </c>
      <c r="FV21" s="56">
        <f>'Health - Emissions'!EP20*'Economic Activity'!$C$3</f>
        <v>19.909899770243094</v>
      </c>
      <c r="FW21" s="36"/>
      <c r="FX21" s="36"/>
      <c r="FY21" s="36"/>
      <c r="FZ21" s="56">
        <f t="shared" si="53"/>
        <v>36698.005084491539</v>
      </c>
      <c r="GA21" s="57">
        <f t="shared" si="31"/>
        <v>12431.215072044863</v>
      </c>
      <c r="GB21" s="28">
        <f>'Capital Cost'!M17</f>
        <v>0</v>
      </c>
      <c r="GC21" s="53">
        <f>'O&amp;M'!$M$10</f>
        <v>2523.1620000000003</v>
      </c>
      <c r="GD21" s="29"/>
      <c r="GE21" s="53">
        <f t="shared" si="68"/>
        <v>2523.1620000000003</v>
      </c>
      <c r="GF21" s="54">
        <f t="shared" si="11"/>
        <v>854.68226524565955</v>
      </c>
      <c r="GG21" s="26"/>
      <c r="GH21" s="52">
        <f>('Safety and Crash Costs'!$V$24+'Safety and Crash Costs'!$V$40)/20</f>
        <v>43497.4</v>
      </c>
      <c r="GI21" s="55">
        <f>'Health - Emissions'!FL20</f>
        <v>5.5232210904614201</v>
      </c>
      <c r="GJ21" s="36"/>
      <c r="GK21" s="56">
        <f>'Health - Emissions'!FM20</f>
        <v>3.4734432442254515</v>
      </c>
      <c r="GL21" s="56">
        <f>'Health - Mortality'!BB18</f>
        <v>1821.7305984220927</v>
      </c>
      <c r="GM21" s="56">
        <f>'Health - Emissions'!FD20*'Economic Activity'!$C$3</f>
        <v>94.473015543418143</v>
      </c>
      <c r="GN21" s="36"/>
      <c r="GO21" s="36"/>
      <c r="GP21" s="36"/>
      <c r="GQ21" s="56">
        <f t="shared" si="54"/>
        <v>45422.600278300197</v>
      </c>
      <c r="GR21" s="57">
        <f t="shared" si="33"/>
        <v>15387.777218852612</v>
      </c>
      <c r="GS21" s="28">
        <f>'Capital Cost'!N17</f>
        <v>0</v>
      </c>
      <c r="GT21" s="53">
        <f>'O&amp;M'!$N$10</f>
        <v>4541.6970000000001</v>
      </c>
      <c r="GU21" s="29"/>
      <c r="GV21" s="53">
        <f t="shared" si="69"/>
        <v>4541.6970000000001</v>
      </c>
      <c r="GW21" s="54">
        <f t="shared" si="13"/>
        <v>1538.4299066090152</v>
      </c>
      <c r="GX21" s="26"/>
      <c r="GY21" s="52">
        <f>('Safety and Crash Costs'!$V$25+'Safety and Crash Costs'!$V$41)/20</f>
        <v>95168.4</v>
      </c>
      <c r="GZ21" s="55">
        <f>'Health - Emissions'!FZ20</f>
        <v>3.290799707289159</v>
      </c>
      <c r="HA21" s="36"/>
      <c r="HB21" s="56">
        <f>'Health - Emissions'!GA20</f>
        <v>2.0695180989808448</v>
      </c>
      <c r="HC21" s="56">
        <f>'Health - Mortality'!BC18</f>
        <v>1085.4083915634635</v>
      </c>
      <c r="HD21" s="56">
        <f>'Health - Emissions'!FR20*'Economic Activity'!$C$3</f>
        <v>56.288127309245958</v>
      </c>
      <c r="HE21" s="36"/>
      <c r="HF21" s="36"/>
      <c r="HG21" s="36"/>
      <c r="HH21" s="56">
        <f t="shared" si="55"/>
        <v>96315.45683667899</v>
      </c>
      <c r="HI21" s="57">
        <f t="shared" si="35"/>
        <v>32626.313543033939</v>
      </c>
      <c r="HJ21" s="28">
        <f>'Capital Cost'!O17</f>
        <v>0</v>
      </c>
      <c r="HK21" s="53">
        <f>'O&amp;M'!$O$10</f>
        <v>5217.3509999999997</v>
      </c>
      <c r="HL21" s="29"/>
      <c r="HM21" s="53">
        <f t="shared" si="70"/>
        <v>5217.3509999999997</v>
      </c>
      <c r="HN21" s="54">
        <f t="shared" si="15"/>
        <v>1767.2972925486777</v>
      </c>
      <c r="HO21" s="26"/>
      <c r="HP21" s="52">
        <f>('Safety and Crash Costs'!$V$26+'Safety and Crash Costs'!$V$42)/20</f>
        <v>142756.9</v>
      </c>
      <c r="HQ21" s="55">
        <f>'Health - Emissions'!GN20</f>
        <v>10.056084666406711</v>
      </c>
      <c r="HR21" s="36"/>
      <c r="HS21" s="56">
        <f>'Health - Emissions'!GO20</f>
        <v>6.3240704610235898</v>
      </c>
      <c r="HT21" s="56">
        <f>'Health - Mortality'!BD18</f>
        <v>3316.8103968812688</v>
      </c>
      <c r="HU21" s="56">
        <f>'Health - Emissions'!GF20*'Economic Activity'!$C$3</f>
        <v>172.00626725518305</v>
      </c>
      <c r="HV21" s="36"/>
      <c r="HW21" s="36"/>
      <c r="HX21" s="36"/>
      <c r="HY21" s="56">
        <f t="shared" si="56"/>
        <v>146262.09681926388</v>
      </c>
      <c r="HZ21" s="57">
        <f t="shared" si="37"/>
        <v>49546.892814667626</v>
      </c>
      <c r="IA21" s="28">
        <f>'Capital Cost'!P17</f>
        <v>0</v>
      </c>
      <c r="IB21" s="53">
        <f>'O&amp;M'!$P$10</f>
        <v>10253.235000000001</v>
      </c>
      <c r="IC21" s="29"/>
      <c r="ID21" s="53">
        <f t="shared" si="71"/>
        <v>10253.235000000001</v>
      </c>
      <c r="IE21" s="54">
        <f t="shared" si="17"/>
        <v>3473.1254338390004</v>
      </c>
      <c r="IF21" s="26"/>
      <c r="IG21" s="52">
        <f>('Safety and Crash Costs'!$V$27+'Safety and Crash Costs'!$V$43)/20</f>
        <v>137635.97500000001</v>
      </c>
      <c r="IH21" s="55">
        <f>'Health - Emissions'!HB20</f>
        <v>10.574884092337086</v>
      </c>
      <c r="II21" s="36"/>
      <c r="IJ21" s="56">
        <f>'Health - Emissions'!HC20</f>
        <v>6.650333040701593</v>
      </c>
      <c r="IK21" s="56">
        <f>'Health - Mortality'!BE18</f>
        <v>3487.92663017734</v>
      </c>
      <c r="IL21" s="56">
        <f>'Health - Emissions'!GT20*'Economic Activity'!$C$3</f>
        <v>180.88017351877278</v>
      </c>
      <c r="IM21" s="36"/>
      <c r="IN21" s="36"/>
      <c r="IO21" s="36"/>
      <c r="IP21" s="56">
        <f t="shared" si="57"/>
        <v>141322.00702082916</v>
      </c>
      <c r="IQ21" s="57">
        <f t="shared" si="39"/>
        <v>47873.66104705121</v>
      </c>
      <c r="IR21" s="28">
        <f>'Capital Cost'!Q17</f>
        <v>0</v>
      </c>
      <c r="IS21" s="53">
        <f>'O&amp;M'!$Q$10</f>
        <v>9677.1810000000005</v>
      </c>
      <c r="IT21" s="29"/>
      <c r="IU21" s="53">
        <f t="shared" si="72"/>
        <v>9677.1810000000005</v>
      </c>
      <c r="IV21" s="54">
        <f t="shared" si="19"/>
        <v>3277.9960138398787</v>
      </c>
      <c r="IW21" s="26"/>
    </row>
    <row r="22" spans="1:257" x14ac:dyDescent="0.3">
      <c r="A22">
        <v>17</v>
      </c>
      <c r="B22" s="34">
        <v>2038</v>
      </c>
      <c r="C22" s="52">
        <f>('Safety and Crash Costs'!$V$13+'Safety and Crash Costs'!$V$29)/20</f>
        <v>435297.07500000001</v>
      </c>
      <c r="D22" s="55">
        <f>'Health - Emissions'!N21</f>
        <v>39.852273774639336</v>
      </c>
      <c r="E22" s="35"/>
      <c r="F22" s="56">
        <f>'Health - Emissions'!O21</f>
        <v>24.723617979468667</v>
      </c>
      <c r="G22" s="56">
        <f>'Health - Mortality'!AQ19</f>
        <v>12966.894291931967</v>
      </c>
      <c r="H22" s="56">
        <f>'Health - Emissions'!F21*'Economic Activity'!$C$3</f>
        <v>672.44937701140418</v>
      </c>
      <c r="I22" s="35"/>
      <c r="J22" s="36"/>
      <c r="K22" s="36"/>
      <c r="L22" s="56">
        <f t="shared" si="40"/>
        <v>449000.99456069747</v>
      </c>
      <c r="M22" s="57">
        <f t="shared" si="43"/>
        <v>142153.71124259121</v>
      </c>
      <c r="N22" s="28">
        <f>'Capital Cost'!C18</f>
        <v>0</v>
      </c>
      <c r="O22" s="53">
        <f>'O&amp;M'!$C$10</f>
        <v>12525.21</v>
      </c>
      <c r="P22" s="29"/>
      <c r="Q22" s="53">
        <f t="shared" si="58"/>
        <v>12525.21</v>
      </c>
      <c r="R22" s="54">
        <f t="shared" si="41"/>
        <v>3965.1607211849769</v>
      </c>
      <c r="S22" s="26"/>
      <c r="T22" s="52">
        <f>('Safety and Crash Costs'!$V$14+'Safety and Crash Costs'!$V$30)/20</f>
        <v>181788.7</v>
      </c>
      <c r="U22" s="55">
        <f>'Health - Emissions'!AB21</f>
        <v>7.262608566082327</v>
      </c>
      <c r="V22" s="35"/>
      <c r="W22" s="56">
        <f>'Health - Emissions'!AC21</f>
        <v>4.5055888338421708</v>
      </c>
      <c r="X22" s="56">
        <f>'Health - Mortality'!AR19</f>
        <v>2363.0641025054383</v>
      </c>
      <c r="Y22" s="56">
        <f>'Health - Emissions'!T21*'Economic Activity'!$C$3</f>
        <v>122.54599658119371</v>
      </c>
      <c r="Z22" s="35"/>
      <c r="AA22" s="36"/>
      <c r="AB22" s="36"/>
      <c r="AC22" s="56">
        <f t="shared" si="44"/>
        <v>184286.07829648661</v>
      </c>
      <c r="AD22" s="57">
        <f t="shared" si="21"/>
        <v>58342.347749473745</v>
      </c>
      <c r="AE22" s="28">
        <f>'Capital Cost'!D18</f>
        <v>0</v>
      </c>
      <c r="AF22" s="53">
        <f>'O&amp;M'!$D$10</f>
        <v>4532.2169999999996</v>
      </c>
      <c r="AG22" s="29"/>
      <c r="AH22" s="53">
        <f t="shared" si="59"/>
        <v>4532.2169999999996</v>
      </c>
      <c r="AI22" s="54">
        <f t="shared" si="42"/>
        <v>1434.7838342260777</v>
      </c>
      <c r="AJ22" s="26"/>
      <c r="AK22" s="52">
        <f>('Safety and Crash Costs'!$V$15+'Safety and Crash Costs'!$V$31)/20</f>
        <v>164338.04999999999</v>
      </c>
      <c r="AL22" s="55">
        <f>'Health - Emissions'!AP21</f>
        <v>5.5191109124345399</v>
      </c>
      <c r="AM22" s="36"/>
      <c r="AN22" s="56">
        <f>'Health - Emissions'!AQ21</f>
        <v>3.4239549431225194</v>
      </c>
      <c r="AO22" s="56">
        <f>'Health - Mortality'!AS19</f>
        <v>1795.7752722387677</v>
      </c>
      <c r="AP22" s="56">
        <f>'Health - Emissions'!AH21*'Economic Activity'!$C$3</f>
        <v>93.126999872343831</v>
      </c>
      <c r="AQ22" s="35"/>
      <c r="AR22" s="36"/>
      <c r="AS22" s="36"/>
      <c r="AT22" s="56">
        <f t="shared" si="73"/>
        <v>166235.89533796668</v>
      </c>
      <c r="AU22" s="57">
        <f t="shared" si="22"/>
        <v>52627.619183567869</v>
      </c>
      <c r="AV22" s="28">
        <f>'Capital Cost'!I18</f>
        <v>0</v>
      </c>
      <c r="AW22" s="53">
        <f>'O&amp;M'!$E$10</f>
        <v>8343.6509999999998</v>
      </c>
      <c r="AX22" s="29"/>
      <c r="AY22" s="53">
        <f t="shared" si="60"/>
        <v>8343.6509999999998</v>
      </c>
      <c r="AZ22" s="54">
        <f t="shared" si="0"/>
        <v>2641.3862295702629</v>
      </c>
      <c r="BA22" s="26"/>
      <c r="BB22" s="52">
        <f>('Safety and Crash Costs'!$V$16+'Safety and Crash Costs'!$V$32)/20</f>
        <v>24774.025000000001</v>
      </c>
      <c r="BC22" s="55">
        <f>'Health - Emissions'!BD21</f>
        <v>2.0327408835940477</v>
      </c>
      <c r="BD22" s="36"/>
      <c r="BE22" s="56">
        <f>'Health - Emissions'!BE21</f>
        <v>1.2610750729412215</v>
      </c>
      <c r="BF22" s="56">
        <f>'Health - Mortality'!AT19</f>
        <v>661.40106106633175</v>
      </c>
      <c r="BG22" s="56">
        <f>'Health - Emissions'!AV21*'Economic Activity'!$C$3</f>
        <v>34.29955712259229</v>
      </c>
      <c r="BH22" s="36"/>
      <c r="BI22" s="36"/>
      <c r="BJ22" s="36"/>
      <c r="BK22" s="56">
        <f t="shared" si="46"/>
        <v>25473.019434145459</v>
      </c>
      <c r="BL22" s="57">
        <f t="shared" si="23"/>
        <v>8064.6919286035509</v>
      </c>
      <c r="BM22" s="28">
        <f>'Capital Cost'!H18</f>
        <v>0</v>
      </c>
      <c r="BN22" s="53">
        <f>'O&amp;M'!$F$10</f>
        <v>2683.1880000000001</v>
      </c>
      <c r="BO22" s="29"/>
      <c r="BP22" s="53">
        <f t="shared" si="61"/>
        <v>2683.1880000000001</v>
      </c>
      <c r="BQ22" s="54">
        <f t="shared" si="1"/>
        <v>849.42860560061479</v>
      </c>
      <c r="BR22" s="26"/>
      <c r="BS22" s="52">
        <f>('Safety and Crash Costs'!$V$17+'Safety and Crash Costs'!$V$33)/20</f>
        <v>127904.325</v>
      </c>
      <c r="BT22" s="55">
        <f>'Health - Emissions'!BR21</f>
        <v>1.7292845496017248</v>
      </c>
      <c r="BU22" s="36"/>
      <c r="BV22" s="56">
        <f>'Health - Emissions'!BS21</f>
        <v>1.0728163422724932</v>
      </c>
      <c r="BW22" s="56">
        <f>'Health - Mortality'!AU19</f>
        <v>562.66425554936063</v>
      </c>
      <c r="BX22" s="56">
        <f>'Health - Emissions'!BJ21*'Economic Activity'!$C$3</f>
        <v>29.179171171787186</v>
      </c>
      <c r="BY22" s="36"/>
      <c r="BZ22" s="36"/>
      <c r="CA22" s="36"/>
      <c r="CB22" s="56">
        <f t="shared" si="47"/>
        <v>128498.97052761301</v>
      </c>
      <c r="CC22" s="57">
        <f t="shared" si="24"/>
        <v>40679.982068434576</v>
      </c>
      <c r="CD22" s="28">
        <f>'Capital Cost'!G18</f>
        <v>0</v>
      </c>
      <c r="CE22" s="53">
        <f>'O&amp;M'!$G$10</f>
        <v>4052.67</v>
      </c>
      <c r="CF22" s="29"/>
      <c r="CG22" s="53">
        <f t="shared" si="62"/>
        <v>4052.67</v>
      </c>
      <c r="CH22" s="54">
        <f t="shared" si="2"/>
        <v>1282.9715350021854</v>
      </c>
      <c r="CI22" s="26"/>
      <c r="CJ22" s="52">
        <f>('Safety and Crash Costs'!$V$18+'Safety and Crash Costs'!$V$34)/20</f>
        <v>11114.924999999999</v>
      </c>
      <c r="CK22" s="55">
        <f>'Health - Emissions'!CF21</f>
        <v>0.89324451119854809</v>
      </c>
      <c r="CL22" s="36"/>
      <c r="CM22" s="56">
        <f>'Health - Emissions'!CG21</f>
        <v>0.55415247275511303</v>
      </c>
      <c r="CN22" s="56">
        <f>'Health - Mortality'!AV19</f>
        <v>290.63855224568897</v>
      </c>
      <c r="CO22" s="56">
        <f>'Health - Emissions'!BX21*'Economic Activity'!$C$3</f>
        <v>15.072206882623624</v>
      </c>
      <c r="CP22" s="36"/>
      <c r="CQ22" s="36"/>
      <c r="CR22" s="36"/>
      <c r="CS22" s="56">
        <f t="shared" si="48"/>
        <v>11422.083156112267</v>
      </c>
      <c r="CT22" s="57">
        <f t="shared" si="25"/>
        <v>3616.1966622593882</v>
      </c>
      <c r="CU22" s="28">
        <f>'Capital Cost'!F18</f>
        <v>0</v>
      </c>
      <c r="CV22" s="53">
        <f>'O&amp;M'!$H$10</f>
        <v>1817.1089999999999</v>
      </c>
      <c r="CW22" s="29"/>
      <c r="CX22" s="53">
        <f t="shared" si="63"/>
        <v>1817.1089999999999</v>
      </c>
      <c r="CY22" s="54">
        <f t="shared" si="4"/>
        <v>575.25017408184874</v>
      </c>
      <c r="CZ22" s="26"/>
      <c r="DA22" s="52">
        <f>('Safety and Crash Costs'!$V$19+'Safety and Crash Costs'!$V$35)/20</f>
        <v>437404.52500000002</v>
      </c>
      <c r="DB22" s="55">
        <f>'Health - Emissions'!CT21</f>
        <v>39.399195314072649</v>
      </c>
      <c r="DC22" s="36"/>
      <c r="DD22" s="56">
        <f>'Health - Emissions'!CU21</f>
        <v>24.442536432224429</v>
      </c>
      <c r="DE22" s="56">
        <f>'Health - Mortality'!AW19</f>
        <v>12819.474334482558</v>
      </c>
      <c r="DF22" s="56">
        <f>'Health - Emissions'!CL21*'Economic Activity'!$C$3</f>
        <v>664.80433446582083</v>
      </c>
      <c r="DG22" s="36"/>
      <c r="DH22" s="36"/>
      <c r="DI22" s="36"/>
      <c r="DJ22" s="56">
        <f t="shared" si="49"/>
        <v>450952.64540069475</v>
      </c>
      <c r="DK22" s="57">
        <f t="shared" si="26"/>
        <v>142771.42323077968</v>
      </c>
      <c r="DL22" s="28">
        <f>'Capital Cost'!E18</f>
        <v>0</v>
      </c>
      <c r="DM22" s="53">
        <f>'O&amp;M'!$I$10</f>
        <v>12625.473</v>
      </c>
      <c r="DN22" s="29"/>
      <c r="DO22" s="53">
        <f t="shared" si="64"/>
        <v>12625.473</v>
      </c>
      <c r="DP22" s="54">
        <f t="shared" si="5"/>
        <v>3996.9014192960803</v>
      </c>
      <c r="DQ22" s="26"/>
      <c r="DR22" s="52">
        <f>('Safety and Crash Costs'!$V$20+'Safety and Crash Costs'!$V$36)/20</f>
        <v>338656.9</v>
      </c>
      <c r="DS22" s="55">
        <f>'Health - Emissions'!DH21</f>
        <v>14.387942837859452</v>
      </c>
      <c r="DT22" s="36"/>
      <c r="DU22" s="56">
        <f>'Health - Emissions'!DI21</f>
        <v>8.926015219237982</v>
      </c>
      <c r="DV22" s="56">
        <f>'Health - Mortality'!AX19</f>
        <v>4681.4627168301795</v>
      </c>
      <c r="DW22" s="56">
        <f>'Health - Emissions'!CZ21*'Economic Activity'!$C$3</f>
        <v>242.77568834607465</v>
      </c>
      <c r="DX22" s="36"/>
      <c r="DY22" s="36"/>
      <c r="DZ22" s="36"/>
      <c r="EA22" s="56">
        <f t="shared" si="50"/>
        <v>343604.45236323337</v>
      </c>
      <c r="EB22" s="57">
        <f t="shared" si="27"/>
        <v>108780.52015544983</v>
      </c>
      <c r="EC22" s="28">
        <f>'Capital Cost'!K18</f>
        <v>0</v>
      </c>
      <c r="ED22" s="53">
        <f>'O&amp;M'!$J$10</f>
        <v>6594.4049999999997</v>
      </c>
      <c r="EE22" s="29"/>
      <c r="EF22" s="53">
        <f t="shared" si="65"/>
        <v>6594.4049999999997</v>
      </c>
      <c r="EG22" s="54">
        <f t="shared" si="7"/>
        <v>2087.6197433484804</v>
      </c>
      <c r="EH22" s="26"/>
      <c r="EI22" s="52">
        <f>('Safety and Crash Costs'!$V$21+'Safety and Crash Costs'!$V$37)/20</f>
        <v>143994.92499999999</v>
      </c>
      <c r="EJ22" s="55">
        <f>'Health - Emissions'!DV21</f>
        <v>5.6185920807704273</v>
      </c>
      <c r="EK22" s="36"/>
      <c r="EL22" s="56">
        <f>'Health - Emissions'!DW21</f>
        <v>3.4856712310311133</v>
      </c>
      <c r="EM22" s="56">
        <f>'Health - Mortality'!AY19</f>
        <v>1828.1438593147263</v>
      </c>
      <c r="EN22" s="56">
        <f>'Health - Emissions'!DN21*'Economic Activity'!$C$3</f>
        <v>94.805600447310397</v>
      </c>
      <c r="EO22" s="36"/>
      <c r="EP22" s="36"/>
      <c r="EQ22" s="36"/>
      <c r="ER22" s="56">
        <f t="shared" si="51"/>
        <v>145926.97872307384</v>
      </c>
      <c r="ES22" s="57">
        <f t="shared" si="28"/>
        <v>46198.364979774393</v>
      </c>
      <c r="ET22" s="28">
        <f>'Capital Cost'!J18</f>
        <v>0</v>
      </c>
      <c r="EU22" s="53">
        <f>'O&amp;M'!$K$10</f>
        <v>6250.6319999999996</v>
      </c>
      <c r="EV22" s="29"/>
      <c r="EW22" s="53">
        <f t="shared" si="66"/>
        <v>6250.6319999999996</v>
      </c>
      <c r="EX22" s="54">
        <f t="shared" si="8"/>
        <v>1978.7900154154618</v>
      </c>
      <c r="EY22" s="26"/>
      <c r="EZ22" s="52">
        <f>('Safety and Crash Costs'!$V$22+'Safety and Crash Costs'!$V$38)/20</f>
        <v>212730</v>
      </c>
      <c r="FA22" s="55">
        <f>'Health - Emissions'!EJ21</f>
        <v>9.285411965228894</v>
      </c>
      <c r="FB22" s="36"/>
      <c r="FC22" s="56">
        <f>'Health - Emissions'!EK21</f>
        <v>5.7604988741294028</v>
      </c>
      <c r="FD22" s="56">
        <f>'Health - Mortality'!AZ19</f>
        <v>3021.2317643663227</v>
      </c>
      <c r="FE22" s="56">
        <f>'Health - Emissions'!EB21*'Economic Activity'!$C$3</f>
        <v>156.67787305239941</v>
      </c>
      <c r="FF22" s="36"/>
      <c r="FG22" s="36"/>
      <c r="FH22" s="36"/>
      <c r="FI22" s="56">
        <f t="shared" si="52"/>
        <v>215922.95554825806</v>
      </c>
      <c r="FJ22" s="57">
        <f t="shared" si="30"/>
        <v>68358.356343211257</v>
      </c>
      <c r="FK22" s="28">
        <f>'Capital Cost'!L18</f>
        <v>0</v>
      </c>
      <c r="FL22" s="53">
        <f>'O&amp;M'!$L$10</f>
        <v>7062.8190000000004</v>
      </c>
      <c r="FM22" s="29"/>
      <c r="FN22" s="53">
        <f t="shared" si="67"/>
        <v>7062.8190000000004</v>
      </c>
      <c r="FO22" s="54">
        <f t="shared" si="10"/>
        <v>2235.9076198833363</v>
      </c>
      <c r="FP22" s="26"/>
      <c r="FQ22" s="52">
        <f>('Safety and Crash Costs'!$V$23+'Safety and Crash Costs'!$V$39)/20</f>
        <v>36292.275000000001</v>
      </c>
      <c r="FR22" s="55">
        <f>'Health - Emissions'!EX21</f>
        <v>1.3424345511636384</v>
      </c>
      <c r="FS22" s="36"/>
      <c r="FT22" s="56">
        <f>'Health - Emissions'!EY21</f>
        <v>0.83282171534539118</v>
      </c>
      <c r="FU22" s="56">
        <f>'Health - Mortality'!BA19</f>
        <v>436.79331867516692</v>
      </c>
      <c r="FV22" s="56">
        <f>'Health - Emissions'!EP21*'Economic Activity'!$C$3</f>
        <v>22.651637964582921</v>
      </c>
      <c r="FW22" s="36"/>
      <c r="FX22" s="36"/>
      <c r="FY22" s="36"/>
      <c r="FZ22" s="56">
        <f t="shared" si="53"/>
        <v>36753.895212906267</v>
      </c>
      <c r="GA22" s="57">
        <f t="shared" si="31"/>
        <v>11635.72918878873</v>
      </c>
      <c r="GB22" s="28">
        <f>'Capital Cost'!M18</f>
        <v>0</v>
      </c>
      <c r="GC22" s="53">
        <f>'O&amp;M'!$M$10</f>
        <v>2523.1620000000003</v>
      </c>
      <c r="GD22" s="29"/>
      <c r="GE22" s="53">
        <f t="shared" si="68"/>
        <v>2523.1620000000003</v>
      </c>
      <c r="GF22" s="54">
        <f t="shared" si="11"/>
        <v>798.76847219220519</v>
      </c>
      <c r="GG22" s="26"/>
      <c r="GH22" s="52">
        <f>('Safety and Crash Costs'!$V$24+'Safety and Crash Costs'!$V$40)/20</f>
        <v>43497.4</v>
      </c>
      <c r="GI22" s="55">
        <f>'Health - Emissions'!FL21</f>
        <v>6.36988843146524</v>
      </c>
      <c r="GJ22" s="36"/>
      <c r="GK22" s="56">
        <f>'Health - Emissions'!FM21</f>
        <v>3.9517616746777136</v>
      </c>
      <c r="GL22" s="56">
        <f>'Health - Mortality'!BB19</f>
        <v>2072.5961687729973</v>
      </c>
      <c r="GM22" s="56">
        <f>'Health - Emissions'!FD21*'Economic Activity'!$C$3</f>
        <v>107.48263779360016</v>
      </c>
      <c r="GN22" s="36"/>
      <c r="GO22" s="36"/>
      <c r="GP22" s="36"/>
      <c r="GQ22" s="56">
        <f t="shared" si="54"/>
        <v>45687.800456672732</v>
      </c>
      <c r="GR22" s="57">
        <f t="shared" si="33"/>
        <v>14465.42492492878</v>
      </c>
      <c r="GS22" s="28">
        <f>'Capital Cost'!N18</f>
        <v>0</v>
      </c>
      <c r="GT22" s="53">
        <f>'O&amp;M'!$N$10</f>
        <v>4541.6970000000001</v>
      </c>
      <c r="GU22" s="29"/>
      <c r="GV22" s="53">
        <f t="shared" si="69"/>
        <v>4541.6970000000001</v>
      </c>
      <c r="GW22" s="54">
        <f t="shared" si="13"/>
        <v>1437.7849594476777</v>
      </c>
      <c r="GX22" s="26"/>
      <c r="GY22" s="52">
        <f>('Safety and Crash Costs'!$V$25+'Safety and Crash Costs'!$V$41)/20</f>
        <v>95168.4</v>
      </c>
      <c r="GZ22" s="55">
        <f>'Health - Emissions'!FZ21</f>
        <v>3.7952540089209479</v>
      </c>
      <c r="HA22" s="36"/>
      <c r="HB22" s="56">
        <f>'Health - Emissions'!GA21</f>
        <v>2.3545058126977016</v>
      </c>
      <c r="HC22" s="56">
        <f>'Health - Mortality'!BC19</f>
        <v>1234.8770316846076</v>
      </c>
      <c r="HD22" s="56">
        <f>'Health - Emissions'!FR21*'Economic Activity'!$C$3</f>
        <v>64.039412364044523</v>
      </c>
      <c r="HE22" s="36"/>
      <c r="HF22" s="36"/>
      <c r="HG22" s="36"/>
      <c r="HH22" s="56">
        <f t="shared" si="55"/>
        <v>96473.466203870252</v>
      </c>
      <c r="HI22" s="57">
        <f t="shared" si="35"/>
        <v>30542.123470317183</v>
      </c>
      <c r="HJ22" s="28">
        <f>'Capital Cost'!O18</f>
        <v>0</v>
      </c>
      <c r="HK22" s="53">
        <f>'O&amp;M'!$O$10</f>
        <v>5217.3509999999997</v>
      </c>
      <c r="HL22" s="29"/>
      <c r="HM22" s="53">
        <f t="shared" si="70"/>
        <v>5217.3509999999997</v>
      </c>
      <c r="HN22" s="54">
        <f t="shared" si="15"/>
        <v>1651.6797126623155</v>
      </c>
      <c r="HO22" s="26"/>
      <c r="HP22" s="52">
        <f>('Safety and Crash Costs'!$V$26+'Safety and Crash Costs'!$V$42)/20</f>
        <v>142756.9</v>
      </c>
      <c r="HQ22" s="55">
        <f>'Health - Emissions'!GN21</f>
        <v>11.597605153450004</v>
      </c>
      <c r="HR22" s="36"/>
      <c r="HS22" s="56">
        <f>'Health - Emissions'!GO21</f>
        <v>7.1949410192269498</v>
      </c>
      <c r="HT22" s="56">
        <f>'Health - Mortality'!BD19</f>
        <v>3773.5593435587512</v>
      </c>
      <c r="HU22" s="56">
        <f>'Health - Emissions'!GF21*'Economic Activity'!$C$3</f>
        <v>195.69278291028417</v>
      </c>
      <c r="HV22" s="36"/>
      <c r="HW22" s="36"/>
      <c r="HX22" s="36"/>
      <c r="HY22" s="56">
        <f t="shared" si="56"/>
        <v>146744.94467264172</v>
      </c>
      <c r="HZ22" s="57">
        <f t="shared" si="37"/>
        <v>46459.036650499074</v>
      </c>
      <c r="IA22" s="28">
        <f>'Capital Cost'!P18</f>
        <v>0</v>
      </c>
      <c r="IB22" s="53">
        <f>'O&amp;M'!$P$10</f>
        <v>10253.235000000001</v>
      </c>
      <c r="IC22" s="29"/>
      <c r="ID22" s="53">
        <f t="shared" si="71"/>
        <v>10253.235000000001</v>
      </c>
      <c r="IE22" s="54">
        <f t="shared" si="17"/>
        <v>3245.9116204102806</v>
      </c>
      <c r="IF22" s="26"/>
      <c r="IG22" s="52">
        <f>('Safety and Crash Costs'!$V$27+'Safety and Crash Costs'!$V$43)/20</f>
        <v>137635.97500000001</v>
      </c>
      <c r="IH22" s="55">
        <f>'Health - Emissions'!HB21</f>
        <v>12.195932543818623</v>
      </c>
      <c r="II22" s="36"/>
      <c r="IJ22" s="56">
        <f>'Health - Emissions'!HC21</f>
        <v>7.5661323321687934</v>
      </c>
      <c r="IK22" s="56">
        <f>'Health - Mortality'!BE19</f>
        <v>3968.2395283519863</v>
      </c>
      <c r="IL22" s="56">
        <f>'Health - Emissions'!GT21*'Economic Activity'!$C$3</f>
        <v>205.78869069154294</v>
      </c>
      <c r="IM22" s="36"/>
      <c r="IN22" s="36"/>
      <c r="IO22" s="36"/>
      <c r="IP22" s="56">
        <f t="shared" si="57"/>
        <v>141829.76528391952</v>
      </c>
      <c r="IQ22" s="57">
        <f t="shared" si="39"/>
        <v>44903.189314274859</v>
      </c>
      <c r="IR22" s="28">
        <f>'Capital Cost'!Q18</f>
        <v>0</v>
      </c>
      <c r="IS22" s="53">
        <f>'O&amp;M'!$Q$10</f>
        <v>9677.1810000000005</v>
      </c>
      <c r="IT22" s="29"/>
      <c r="IU22" s="53">
        <f t="shared" si="72"/>
        <v>9677.1810000000005</v>
      </c>
      <c r="IV22" s="54">
        <f t="shared" si="19"/>
        <v>3063.5476764858681</v>
      </c>
      <c r="IW22" s="26"/>
    </row>
    <row r="23" spans="1:257" x14ac:dyDescent="0.3">
      <c r="A23">
        <v>18</v>
      </c>
      <c r="B23" s="34">
        <v>2039</v>
      </c>
      <c r="C23" s="52">
        <f>('Safety and Crash Costs'!$V$13+'Safety and Crash Costs'!$V$29)/20</f>
        <v>435297.07500000001</v>
      </c>
      <c r="D23" s="55">
        <f>'Health - Emissions'!N22</f>
        <v>45.497118599704137</v>
      </c>
      <c r="E23" s="35"/>
      <c r="F23" s="56">
        <f>'Health - Emissions'!O22</f>
        <v>27.849234918006857</v>
      </c>
      <c r="G23" s="56">
        <f>'Health - Mortality'!AQ20</f>
        <v>14606.19904388024</v>
      </c>
      <c r="H23" s="56">
        <f>'Health - Emissions'!F22*'Economic Activity'!$C$3</f>
        <v>757.46198175403208</v>
      </c>
      <c r="I23" s="35"/>
      <c r="J23" s="36"/>
      <c r="K23" s="36"/>
      <c r="L23" s="56">
        <f t="shared" si="40"/>
        <v>450734.08237915201</v>
      </c>
      <c r="M23" s="57">
        <f t="shared" si="43"/>
        <v>133369.21463875507</v>
      </c>
      <c r="N23" s="28">
        <f>'Capital Cost'!C19</f>
        <v>0</v>
      </c>
      <c r="O23" s="53">
        <f>'O&amp;M'!$C$10</f>
        <v>12525.21</v>
      </c>
      <c r="P23" s="29"/>
      <c r="Q23" s="53">
        <f t="shared" si="58"/>
        <v>12525.21</v>
      </c>
      <c r="R23" s="54">
        <f t="shared" si="41"/>
        <v>3705.7576833504454</v>
      </c>
      <c r="S23" s="26"/>
      <c r="T23" s="52">
        <f>('Safety and Crash Costs'!$V$14+'Safety and Crash Costs'!$V$30)/20</f>
        <v>181788.7</v>
      </c>
      <c r="U23" s="55">
        <f>'Health - Emissions'!AB22</f>
        <v>8.2913151992985696</v>
      </c>
      <c r="V23" s="35"/>
      <c r="W23" s="56">
        <f>'Health - Emissions'!AC22</f>
        <v>5.0751957897836695</v>
      </c>
      <c r="X23" s="56">
        <f>'Health - Mortality'!AR20</f>
        <v>2661.8081290381319</v>
      </c>
      <c r="Y23" s="56">
        <f>'Health - Emissions'!T22*'Economic Activity'!$C$3</f>
        <v>138.03854475849954</v>
      </c>
      <c r="Z23" s="35"/>
      <c r="AA23" s="36"/>
      <c r="AB23" s="36"/>
      <c r="AC23" s="56">
        <f t="shared" si="44"/>
        <v>184601.91318478575</v>
      </c>
      <c r="AD23" s="57">
        <f t="shared" si="21"/>
        <v>54619.462168162194</v>
      </c>
      <c r="AE23" s="28">
        <f>'Capital Cost'!D19</f>
        <v>0</v>
      </c>
      <c r="AF23" s="53">
        <f>'O&amp;M'!$D$10</f>
        <v>4532.2169999999996</v>
      </c>
      <c r="AG23" s="29"/>
      <c r="AH23" s="53">
        <f t="shared" si="59"/>
        <v>4532.2169999999996</v>
      </c>
      <c r="AI23" s="54">
        <f t="shared" si="42"/>
        <v>1340.919471239325</v>
      </c>
      <c r="AJ23" s="26"/>
      <c r="AK23" s="52">
        <f>('Safety and Crash Costs'!$V$15+'Safety and Crash Costs'!$V$31)/20</f>
        <v>164338.04999999999</v>
      </c>
      <c r="AL23" s="55">
        <f>'Health - Emissions'!AP22</f>
        <v>6.300861154571054</v>
      </c>
      <c r="AM23" s="36"/>
      <c r="AN23" s="56">
        <f>'Health - Emissions'!AQ22</f>
        <v>3.8568192421867846</v>
      </c>
      <c r="AO23" s="56">
        <f>'Health - Mortality'!AS20</f>
        <v>2022.8013334478796</v>
      </c>
      <c r="AP23" s="56">
        <f>'Health - Emissions'!AH22*'Economic Activity'!$C$3</f>
        <v>104.90033047783876</v>
      </c>
      <c r="AQ23" s="35"/>
      <c r="AR23" s="36"/>
      <c r="AS23" s="36"/>
      <c r="AT23" s="56">
        <f t="shared" si="73"/>
        <v>166475.90934432246</v>
      </c>
      <c r="AU23" s="57">
        <f t="shared" si="22"/>
        <v>49256.051406218743</v>
      </c>
      <c r="AV23" s="28">
        <f>'Capital Cost'!I19</f>
        <v>0</v>
      </c>
      <c r="AW23" s="53">
        <f>'O&amp;M'!$E$10</f>
        <v>8343.6509999999998</v>
      </c>
      <c r="AX23" s="29"/>
      <c r="AY23" s="53">
        <f t="shared" si="60"/>
        <v>8343.6509999999998</v>
      </c>
      <c r="AZ23" s="54">
        <f t="shared" si="0"/>
        <v>2468.5852612806198</v>
      </c>
      <c r="BA23" s="26"/>
      <c r="BB23" s="52">
        <f>('Safety and Crash Costs'!$V$16+'Safety and Crash Costs'!$V$32)/20</f>
        <v>24774.025000000001</v>
      </c>
      <c r="BC23" s="55">
        <f>'Health - Emissions'!BD22</f>
        <v>2.3206669106594227</v>
      </c>
      <c r="BD23" s="36"/>
      <c r="BE23" s="56">
        <f>'Health - Emissions'!BE22</f>
        <v>1.4205030988889868</v>
      </c>
      <c r="BF23" s="56">
        <f>'Health - Mortality'!AT20</f>
        <v>745.01691216679785</v>
      </c>
      <c r="BG23" s="56">
        <f>'Health - Emissions'!AV22*'Economic Activity'!$C$3</f>
        <v>38.635786424297301</v>
      </c>
      <c r="BH23" s="36"/>
      <c r="BI23" s="36"/>
      <c r="BJ23" s="36"/>
      <c r="BK23" s="56">
        <f t="shared" si="46"/>
        <v>25561.418868600642</v>
      </c>
      <c r="BL23" s="57">
        <f t="shared" si="23"/>
        <v>7563.3780388297128</v>
      </c>
      <c r="BM23" s="28">
        <f>'Capital Cost'!H19</f>
        <v>0</v>
      </c>
      <c r="BN23" s="53">
        <f>'O&amp;M'!$F$10</f>
        <v>2683.1880000000001</v>
      </c>
      <c r="BO23" s="29"/>
      <c r="BP23" s="53">
        <f t="shared" si="61"/>
        <v>2683.1880000000001</v>
      </c>
      <c r="BQ23" s="54">
        <f t="shared" si="1"/>
        <v>793.85850990711663</v>
      </c>
      <c r="BR23" s="26"/>
      <c r="BS23" s="52">
        <f>('Safety and Crash Costs'!$V$17+'Safety and Crash Costs'!$V$33)/20</f>
        <v>127904.325</v>
      </c>
      <c r="BT23" s="55">
        <f>'Health - Emissions'!BR22</f>
        <v>1.9742277364342853</v>
      </c>
      <c r="BU23" s="36"/>
      <c r="BV23" s="56">
        <f>'Health - Emissions'!BS22</f>
        <v>1.2084442642915163</v>
      </c>
      <c r="BW23" s="56">
        <f>'Health - Mortality'!AU20</f>
        <v>633.79757144655355</v>
      </c>
      <c r="BX23" s="56">
        <f>'Health - Emissions'!BJ22*'Economic Activity'!$C$3</f>
        <v>32.868069444798095</v>
      </c>
      <c r="BY23" s="36"/>
      <c r="BZ23" s="36"/>
      <c r="CA23" s="36"/>
      <c r="CB23" s="56">
        <f t="shared" si="47"/>
        <v>128574.17331289208</v>
      </c>
      <c r="CC23" s="57">
        <f t="shared" si="24"/>
        <v>38041.03400214095</v>
      </c>
      <c r="CD23" s="28">
        <f>'Capital Cost'!G19</f>
        <v>0</v>
      </c>
      <c r="CE23" s="53">
        <f>'O&amp;M'!$G$10</f>
        <v>4052.67</v>
      </c>
      <c r="CF23" s="29"/>
      <c r="CG23" s="53">
        <f t="shared" si="62"/>
        <v>4052.67</v>
      </c>
      <c r="CH23" s="54">
        <f t="shared" si="2"/>
        <v>1199.0388177590517</v>
      </c>
      <c r="CI23" s="26"/>
      <c r="CJ23" s="52">
        <f>('Safety and Crash Costs'!$V$18+'Safety and Crash Costs'!$V$34)/20</f>
        <v>11114.924999999999</v>
      </c>
      <c r="CK23" s="55">
        <f>'Health - Emissions'!CF22</f>
        <v>1.0197674465038198</v>
      </c>
      <c r="CL23" s="36"/>
      <c r="CM23" s="56">
        <f>'Health - Emissions'!CG22</f>
        <v>0.6242097093947736</v>
      </c>
      <c r="CN23" s="56">
        <f>'Health - Mortality'!AV20</f>
        <v>327.38174988956655</v>
      </c>
      <c r="CO23" s="56">
        <f>'Health - Emissions'!BX22*'Economic Activity'!$C$3</f>
        <v>16.977670119137066</v>
      </c>
      <c r="CP23" s="36"/>
      <c r="CQ23" s="36"/>
      <c r="CR23" s="36"/>
      <c r="CS23" s="56">
        <f t="shared" si="48"/>
        <v>11460.9283971646</v>
      </c>
      <c r="CT23" s="57">
        <f t="shared" si="25"/>
        <v>3391.1724537751757</v>
      </c>
      <c r="CU23" s="28">
        <f>'Capital Cost'!F19</f>
        <v>0</v>
      </c>
      <c r="CV23" s="53">
        <f>'O&amp;M'!$H$10</f>
        <v>1817.1089999999999</v>
      </c>
      <c r="CW23" s="29"/>
      <c r="CX23" s="53">
        <f t="shared" si="63"/>
        <v>1817.1089999999999</v>
      </c>
      <c r="CY23" s="54">
        <f t="shared" si="4"/>
        <v>537.61698512322312</v>
      </c>
      <c r="CZ23" s="26"/>
      <c r="DA23" s="52">
        <f>('Safety and Crash Costs'!$V$19+'Safety and Crash Costs'!$V$35)/20</f>
        <v>437404.52500000002</v>
      </c>
      <c r="DB23" s="55">
        <f>'Health - Emissions'!CT22</f>
        <v>44.979864187272305</v>
      </c>
      <c r="DC23" s="36"/>
      <c r="DD23" s="56">
        <f>'Health - Emissions'!CU22</f>
        <v>27.532618391783963</v>
      </c>
      <c r="DE23" s="56">
        <f>'Health - Mortality'!AW20</f>
        <v>14440.141914619448</v>
      </c>
      <c r="DF23" s="56">
        <f>'Health - Emissions'!CL22*'Economic Activity'!$C$3</f>
        <v>748.85043525679566</v>
      </c>
      <c r="DG23" s="36"/>
      <c r="DH23" s="36"/>
      <c r="DI23" s="36"/>
      <c r="DJ23" s="56">
        <f t="shared" si="49"/>
        <v>452666.02983245527</v>
      </c>
      <c r="DK23" s="57">
        <f t="shared" si="26"/>
        <v>133940.65738288051</v>
      </c>
      <c r="DL23" s="28">
        <f>'Capital Cost'!E19</f>
        <v>0</v>
      </c>
      <c r="DM23" s="53">
        <f>'O&amp;M'!$I$10</f>
        <v>12625.473</v>
      </c>
      <c r="DN23" s="29"/>
      <c r="DO23" s="53">
        <f t="shared" si="64"/>
        <v>12625.473</v>
      </c>
      <c r="DP23" s="54">
        <f t="shared" si="5"/>
        <v>3735.4218871925982</v>
      </c>
      <c r="DQ23" s="26"/>
      <c r="DR23" s="52">
        <f>('Safety and Crash Costs'!$V$20+'Safety and Crash Costs'!$V$36)/20</f>
        <v>338656.9</v>
      </c>
      <c r="DS23" s="55">
        <f>'Health - Emissions'!DH22</f>
        <v>16.425911991913186</v>
      </c>
      <c r="DT23" s="36"/>
      <c r="DU23" s="56">
        <f>'Health - Emissions'!DI22</f>
        <v>10.05446269751841</v>
      </c>
      <c r="DV23" s="56">
        <f>'Health - Mortality'!AX20</f>
        <v>5273.3040556265796</v>
      </c>
      <c r="DW23" s="56">
        <f>'Health - Emissions'!CZ22*'Economic Activity'!$C$3</f>
        <v>273.46795209120762</v>
      </c>
      <c r="DX23" s="36"/>
      <c r="DY23" s="36"/>
      <c r="DZ23" s="36"/>
      <c r="EA23" s="56">
        <f t="shared" si="50"/>
        <v>344230.15238240722</v>
      </c>
      <c r="EB23" s="57">
        <f t="shared" si="27"/>
        <v>101850.0696573177</v>
      </c>
      <c r="EC23" s="28">
        <f>'Capital Cost'!K19</f>
        <v>0</v>
      </c>
      <c r="ED23" s="53">
        <f>'O&amp;M'!$J$10</f>
        <v>6594.4049999999997</v>
      </c>
      <c r="EE23" s="29"/>
      <c r="EF23" s="53">
        <f t="shared" si="65"/>
        <v>6594.4049999999997</v>
      </c>
      <c r="EG23" s="54">
        <f t="shared" si="7"/>
        <v>1951.0464891107292</v>
      </c>
      <c r="EH23" s="26"/>
      <c r="EI23" s="52">
        <f>('Safety and Crash Costs'!$V$21+'Safety and Crash Costs'!$V$37)/20</f>
        <v>143994.92499999999</v>
      </c>
      <c r="EJ23" s="55">
        <f>'Health - Emissions'!DV22</f>
        <v>6.4144332568759221</v>
      </c>
      <c r="EK23" s="36"/>
      <c r="EL23" s="56">
        <f>'Health - Emissions'!DW22</f>
        <v>3.9263378458822893</v>
      </c>
      <c r="EM23" s="56">
        <f>'Health - Mortality'!AY20</f>
        <v>2059.2620321284253</v>
      </c>
      <c r="EN23" s="56">
        <f>'Health - Emissions'!DN22*'Economic Activity'!$C$3</f>
        <v>106.79114361791258</v>
      </c>
      <c r="EO23" s="36"/>
      <c r="EP23" s="36"/>
      <c r="EQ23" s="36"/>
      <c r="ER23" s="56">
        <f t="shared" si="51"/>
        <v>146171.31894684909</v>
      </c>
      <c r="ES23" s="57">
        <f t="shared" si="28"/>
        <v>43248.688881669848</v>
      </c>
      <c r="ET23" s="28">
        <f>'Capital Cost'!J19</f>
        <v>0</v>
      </c>
      <c r="EU23" s="53">
        <f>'O&amp;M'!$K$10</f>
        <v>6250.6319999999996</v>
      </c>
      <c r="EV23" s="29"/>
      <c r="EW23" s="53">
        <f t="shared" si="66"/>
        <v>6250.6319999999996</v>
      </c>
      <c r="EX23" s="54">
        <f t="shared" si="8"/>
        <v>1849.3364630051044</v>
      </c>
      <c r="EY23" s="26"/>
      <c r="EZ23" s="52">
        <f>('Safety and Crash Costs'!$V$22+'Safety and Crash Costs'!$V$38)/20</f>
        <v>212730</v>
      </c>
      <c r="FA23" s="55">
        <f>'Health - Emissions'!EJ22</f>
        <v>10.600637038129806</v>
      </c>
      <c r="FB23" s="36"/>
      <c r="FC23" s="56">
        <f>'Health - Emissions'!EK22</f>
        <v>6.4887544583388452</v>
      </c>
      <c r="FD23" s="56">
        <f>'Health - Mortality'!AZ20</f>
        <v>3403.182868197282</v>
      </c>
      <c r="FE23" s="56">
        <f>'Health - Emissions'!EB22*'Economic Activity'!$C$3</f>
        <v>176.48545195583466</v>
      </c>
      <c r="FF23" s="36"/>
      <c r="FG23" s="36"/>
      <c r="FH23" s="36"/>
      <c r="FI23" s="56">
        <f t="shared" si="52"/>
        <v>216326.75771164958</v>
      </c>
      <c r="FJ23" s="57">
        <f t="shared" si="30"/>
        <v>64006.372152766045</v>
      </c>
      <c r="FK23" s="28">
        <f>'Capital Cost'!L19</f>
        <v>0</v>
      </c>
      <c r="FL23" s="53">
        <f>'O&amp;M'!$L$10</f>
        <v>7062.8190000000004</v>
      </c>
      <c r="FM23" s="29"/>
      <c r="FN23" s="53">
        <f t="shared" si="67"/>
        <v>7062.8190000000004</v>
      </c>
      <c r="FO23" s="54">
        <f t="shared" si="10"/>
        <v>2089.6332896105946</v>
      </c>
      <c r="FP23" s="26"/>
      <c r="FQ23" s="52">
        <f>('Safety and Crash Costs'!$V$23+'Safety and Crash Costs'!$V$39)/20</f>
        <v>36292.275000000001</v>
      </c>
      <c r="FR23" s="55">
        <f>'Health - Emissions'!EX22</f>
        <v>1.5325826659732518</v>
      </c>
      <c r="FS23" s="36"/>
      <c r="FT23" s="56">
        <f>'Health - Emissions'!EY22</f>
        <v>0.93810896183284609</v>
      </c>
      <c r="FU23" s="56">
        <f>'Health - Mortality'!BA20</f>
        <v>492.01373975695037</v>
      </c>
      <c r="FV23" s="56">
        <f>'Health - Emissions'!EP22*'Economic Activity'!$C$3</f>
        <v>25.515310399844225</v>
      </c>
      <c r="FW23" s="36"/>
      <c r="FX23" s="36"/>
      <c r="FY23" s="36"/>
      <c r="FZ23" s="56">
        <f t="shared" si="53"/>
        <v>36812.274741784604</v>
      </c>
      <c r="GA23" s="57">
        <f t="shared" si="31"/>
        <v>10891.870568695122</v>
      </c>
      <c r="GB23" s="28">
        <f>'Capital Cost'!M19</f>
        <v>0</v>
      </c>
      <c r="GC23" s="53">
        <f>'O&amp;M'!$M$10</f>
        <v>2523.1620000000003</v>
      </c>
      <c r="GD23" s="29"/>
      <c r="GE23" s="53">
        <f t="shared" si="68"/>
        <v>2523.1620000000003</v>
      </c>
      <c r="GF23" s="54">
        <f t="shared" si="11"/>
        <v>746.51259083383661</v>
      </c>
      <c r="GG23" s="26"/>
      <c r="GH23" s="52">
        <f>('Safety and Crash Costs'!$V$24+'Safety and Crash Costs'!$V$40)/20</f>
        <v>43497.4</v>
      </c>
      <c r="GI23" s="55">
        <f>'Health - Emissions'!FL22</f>
        <v>7.2721464042958548</v>
      </c>
      <c r="GJ23" s="36"/>
      <c r="GK23" s="56">
        <f>'Health - Emissions'!FM22</f>
        <v>4.4513525208757097</v>
      </c>
      <c r="GL23" s="56">
        <f>'Health - Mortality'!BB20</f>
        <v>2334.6185676486766</v>
      </c>
      <c r="GM23" s="56">
        <f>'Health - Emissions'!FD22*'Economic Activity'!$C$3</f>
        <v>121.0708413310204</v>
      </c>
      <c r="GN23" s="36"/>
      <c r="GO23" s="36"/>
      <c r="GP23" s="36"/>
      <c r="GQ23" s="56">
        <f t="shared" si="54"/>
        <v>45964.812907904874</v>
      </c>
      <c r="GR23" s="57">
        <f t="shared" si="33"/>
        <v>13601.449613790728</v>
      </c>
      <c r="GS23" s="28">
        <f>'Capital Cost'!N19</f>
        <v>0</v>
      </c>
      <c r="GT23" s="53">
        <f>'O&amp;M'!$N$10</f>
        <v>4541.6970000000001</v>
      </c>
      <c r="GU23" s="29"/>
      <c r="GV23" s="53">
        <f t="shared" si="69"/>
        <v>4541.6970000000001</v>
      </c>
      <c r="GW23" s="54">
        <f t="shared" si="13"/>
        <v>1343.724261166054</v>
      </c>
      <c r="GX23" s="26"/>
      <c r="GY23" s="52">
        <f>('Safety and Crash Costs'!$V$25+'Safety and Crash Costs'!$V$41)/20</f>
        <v>95168.4</v>
      </c>
      <c r="GZ23" s="55">
        <f>'Health - Emissions'!FZ22</f>
        <v>4.3328298590019845</v>
      </c>
      <c r="HA23" s="36"/>
      <c r="HB23" s="56">
        <f>'Health - Emissions'!GA22</f>
        <v>2.6521678804487072</v>
      </c>
      <c r="HC23" s="56">
        <f>'Health - Mortality'!BC20</f>
        <v>1390.9930406947151</v>
      </c>
      <c r="HD23" s="56">
        <f>'Health - Emissions'!FR22*'Economic Activity'!$C$3</f>
        <v>72.135422914980566</v>
      </c>
      <c r="HE23" s="36"/>
      <c r="HF23" s="36"/>
      <c r="HG23" s="36"/>
      <c r="HH23" s="56">
        <f t="shared" si="55"/>
        <v>96638.513461349139</v>
      </c>
      <c r="HI23" s="57">
        <f t="shared" si="35"/>
        <v>28593.112213056305</v>
      </c>
      <c r="HJ23" s="28">
        <f>'Capital Cost'!O19</f>
        <v>0</v>
      </c>
      <c r="HK23" s="53">
        <f>'O&amp;M'!$O$10</f>
        <v>5217.3509999999997</v>
      </c>
      <c r="HL23" s="29"/>
      <c r="HM23" s="53">
        <f t="shared" si="70"/>
        <v>5217.3509999999997</v>
      </c>
      <c r="HN23" s="54">
        <f t="shared" si="15"/>
        <v>1543.6258996844069</v>
      </c>
      <c r="HO23" s="26"/>
      <c r="HP23" s="52">
        <f>('Safety and Crash Costs'!$V$26+'Safety and Crash Costs'!$V$42)/20</f>
        <v>142756.9</v>
      </c>
      <c r="HQ23" s="55">
        <f>'Health - Emissions'!GN22</f>
        <v>13.240339061276815</v>
      </c>
      <c r="HR23" s="36"/>
      <c r="HS23" s="56">
        <f>'Health - Emissions'!GO22</f>
        <v>8.1045420954187257</v>
      </c>
      <c r="HT23" s="56">
        <f>'Health - Mortality'!BD20</f>
        <v>4250.6214391064586</v>
      </c>
      <c r="HU23" s="56">
        <f>'Health - Emissions'!GF22*'Economic Activity'!$C$3</f>
        <v>220.43271690869838</v>
      </c>
      <c r="HV23" s="36"/>
      <c r="HW23" s="36"/>
      <c r="HX23" s="36"/>
      <c r="HY23" s="56">
        <f t="shared" si="56"/>
        <v>147249.29903717185</v>
      </c>
      <c r="HZ23" s="57">
        <f t="shared" si="37"/>
        <v>43569.614253947329</v>
      </c>
      <c r="IA23" s="28">
        <f>'Capital Cost'!P19</f>
        <v>0</v>
      </c>
      <c r="IB23" s="53">
        <f>'O&amp;M'!$P$10</f>
        <v>10253.235000000001</v>
      </c>
      <c r="IC23" s="29"/>
      <c r="ID23" s="53">
        <f t="shared" si="71"/>
        <v>10253.235000000001</v>
      </c>
      <c r="IE23" s="54">
        <f t="shared" si="17"/>
        <v>3033.5622620656827</v>
      </c>
      <c r="IF23" s="26"/>
      <c r="IG23" s="52">
        <f>('Safety and Crash Costs'!$V$27+'Safety and Crash Costs'!$V$43)/20</f>
        <v>137635.97500000001</v>
      </c>
      <c r="IH23" s="55">
        <f>'Health - Emissions'!HB22</f>
        <v>13.923416077032339</v>
      </c>
      <c r="II23" s="36"/>
      <c r="IJ23" s="56">
        <f>'Health - Emissions'!HC22</f>
        <v>8.5226602722254281</v>
      </c>
      <c r="IK23" s="56">
        <f>'Health - Mortality'!BE20</f>
        <v>4469.9135429033286</v>
      </c>
      <c r="IL23" s="56">
        <f>'Health - Emissions'!GT22*'Economic Activity'!$C$3</f>
        <v>231.80497269036829</v>
      </c>
      <c r="IM23" s="36"/>
      <c r="IN23" s="36"/>
      <c r="IO23" s="36"/>
      <c r="IP23" s="56">
        <f t="shared" si="57"/>
        <v>142360.13959194295</v>
      </c>
      <c r="IQ23" s="57">
        <f t="shared" si="39"/>
        <v>42123.287530875772</v>
      </c>
      <c r="IR23" s="28">
        <f>'Capital Cost'!Q19</f>
        <v>0</v>
      </c>
      <c r="IS23" s="53">
        <f>'O&amp;M'!$Q$10</f>
        <v>9677.1810000000005</v>
      </c>
      <c r="IT23" s="29"/>
      <c r="IU23" s="53">
        <f t="shared" si="72"/>
        <v>9677.1810000000005</v>
      </c>
      <c r="IV23" s="54">
        <f t="shared" si="19"/>
        <v>2863.1286696129609</v>
      </c>
      <c r="IW23" s="26"/>
    </row>
    <row r="24" spans="1:257" x14ac:dyDescent="0.3">
      <c r="A24">
        <v>19</v>
      </c>
      <c r="B24" s="34">
        <v>2040</v>
      </c>
      <c r="C24" s="52">
        <f>('Safety and Crash Costs'!$V$13+'Safety and Crash Costs'!$V$29)/20</f>
        <v>435297.07500000001</v>
      </c>
      <c r="D24" s="55">
        <f>'Health - Emissions'!N23</f>
        <v>51.507303780874352</v>
      </c>
      <c r="E24" s="35"/>
      <c r="F24" s="56">
        <f>'Health - Emissions'!O23</f>
        <v>31.113284734216066</v>
      </c>
      <c r="G24" s="56">
        <f>'Health - Mortality'!AQ21</f>
        <v>16318.108237976854</v>
      </c>
      <c r="H24" s="56">
        <f>'Health - Emissions'!F23*'Economic Activity'!$C$3</f>
        <v>846.23977581583961</v>
      </c>
      <c r="I24" s="35"/>
      <c r="J24" s="36"/>
      <c r="K24" s="36"/>
      <c r="L24" s="56">
        <f t="shared" si="40"/>
        <v>452544.04360230779</v>
      </c>
      <c r="M24" s="57">
        <f t="shared" si="43"/>
        <v>125147.33080737744</v>
      </c>
      <c r="N24" s="28">
        <f>'Capital Cost'!C20</f>
        <v>0</v>
      </c>
      <c r="O24" s="53">
        <f>'O&amp;M'!$C$10</f>
        <v>12525.21</v>
      </c>
      <c r="P24" s="29"/>
      <c r="Q24" s="53">
        <f t="shared" si="58"/>
        <v>12525.21</v>
      </c>
      <c r="R24" s="54">
        <f t="shared" si="41"/>
        <v>3463.3249377106968</v>
      </c>
      <c r="S24" s="26"/>
      <c r="T24" s="52">
        <f>('Safety and Crash Costs'!$V$14+'Safety and Crash Costs'!$V$30)/20</f>
        <v>181788.7</v>
      </c>
      <c r="U24" s="55">
        <f>'Health - Emissions'!AB23</f>
        <v>9.3866008190687822</v>
      </c>
      <c r="V24" s="35"/>
      <c r="W24" s="56">
        <f>'Health - Emissions'!AC23</f>
        <v>5.6700305108681661</v>
      </c>
      <c r="X24" s="56">
        <f>'Health - Mortality'!AR21</f>
        <v>2973.7834619315122</v>
      </c>
      <c r="Y24" s="56">
        <f>'Health - Emissions'!T23*'Economic Activity'!$C$3</f>
        <v>154.21725444209815</v>
      </c>
      <c r="Z24" s="35"/>
      <c r="AA24" s="36"/>
      <c r="AB24" s="36"/>
      <c r="AC24" s="56">
        <f t="shared" si="44"/>
        <v>184931.75734770356</v>
      </c>
      <c r="AD24" s="57">
        <f t="shared" si="21"/>
        <v>51137.929518919838</v>
      </c>
      <c r="AE24" s="28">
        <f>'Capital Cost'!D20</f>
        <v>0</v>
      </c>
      <c r="AF24" s="53">
        <f>'O&amp;M'!$D$10</f>
        <v>4532.2169999999996</v>
      </c>
      <c r="AG24" s="29"/>
      <c r="AH24" s="53">
        <f t="shared" si="59"/>
        <v>4532.2169999999996</v>
      </c>
      <c r="AI24" s="54">
        <f t="shared" si="42"/>
        <v>1253.1957675133879</v>
      </c>
      <c r="AJ24" s="26"/>
      <c r="AK24" s="52">
        <f>('Safety and Crash Costs'!$V$15+'Safety and Crash Costs'!$V$31)/20</f>
        <v>164338.04999999999</v>
      </c>
      <c r="AL24" s="55">
        <f>'Health - Emissions'!AP23</f>
        <v>7.1332071031793323</v>
      </c>
      <c r="AM24" s="36"/>
      <c r="AN24" s="56">
        <f>'Health - Emissions'!AQ23</f>
        <v>4.3088550045937524</v>
      </c>
      <c r="AO24" s="56">
        <f>'Health - Mortality'!AS21</f>
        <v>2259.8823283156862</v>
      </c>
      <c r="AP24" s="56">
        <f>'Health - Emissions'!AH23*'Economic Activity'!$C$3</f>
        <v>117.1950992721903</v>
      </c>
      <c r="AQ24" s="35"/>
      <c r="AR24" s="36"/>
      <c r="AS24" s="36"/>
      <c r="AT24" s="56">
        <f t="shared" si="73"/>
        <v>166726.56948969563</v>
      </c>
      <c r="AU24" s="57">
        <f t="shared" si="22"/>
        <v>46103.381375343808</v>
      </c>
      <c r="AV24" s="28">
        <f>'Capital Cost'!I20</f>
        <v>0</v>
      </c>
      <c r="AW24" s="53">
        <f>'O&amp;M'!$E$10</f>
        <v>8343.6509999999998</v>
      </c>
      <c r="AX24" s="29"/>
      <c r="AY24" s="53">
        <f t="shared" si="60"/>
        <v>8343.6509999999998</v>
      </c>
      <c r="AZ24" s="54">
        <f t="shared" si="0"/>
        <v>2307.0890292342237</v>
      </c>
      <c r="BA24" s="26"/>
      <c r="BB24" s="52">
        <f>('Safety and Crash Costs'!$V$16+'Safety and Crash Costs'!$V$32)/20</f>
        <v>24774.025000000001</v>
      </c>
      <c r="BC24" s="55">
        <f>'Health - Emissions'!BD23</f>
        <v>2.6272278161882405</v>
      </c>
      <c r="BD24" s="36"/>
      <c r="BE24" s="56">
        <f>'Health - Emissions'!BE23</f>
        <v>1.5869921565777949</v>
      </c>
      <c r="BF24" s="56">
        <f>'Health - Mortality'!AT21</f>
        <v>832.33609067889586</v>
      </c>
      <c r="BG24" s="56">
        <f>'Health - Emissions'!AV23*'Economic Activity'!$C$3</f>
        <v>43.164066355455695</v>
      </c>
      <c r="BH24" s="36"/>
      <c r="BI24" s="36"/>
      <c r="BJ24" s="36"/>
      <c r="BK24" s="56">
        <f t="shared" si="46"/>
        <v>25653.739377007121</v>
      </c>
      <c r="BL24" s="57">
        <f t="shared" si="23"/>
        <v>7094.2445315597006</v>
      </c>
      <c r="BM24" s="28">
        <f>'Capital Cost'!H20</f>
        <v>0</v>
      </c>
      <c r="BN24" s="53">
        <f>'O&amp;M'!$F$10</f>
        <v>2683.1880000000001</v>
      </c>
      <c r="BO24" s="29"/>
      <c r="BP24" s="53">
        <f t="shared" si="61"/>
        <v>2683.1880000000001</v>
      </c>
      <c r="BQ24" s="54">
        <f t="shared" si="1"/>
        <v>741.92384103468839</v>
      </c>
      <c r="BR24" s="26"/>
      <c r="BS24" s="52">
        <f>('Safety and Crash Costs'!$V$17+'Safety and Crash Costs'!$V$33)/20</f>
        <v>127904.325</v>
      </c>
      <c r="BT24" s="55">
        <f>'Health - Emissions'!BR23</f>
        <v>2.2350239066306479</v>
      </c>
      <c r="BU24" s="36"/>
      <c r="BV24" s="56">
        <f>'Health - Emissions'!BS23</f>
        <v>1.3500791167523787</v>
      </c>
      <c r="BW24" s="56">
        <f>'Health - Mortality'!AU21</f>
        <v>708.08136605293055</v>
      </c>
      <c r="BX24" s="56">
        <f>'Health - Emissions'!BJ23*'Economic Activity'!$C$3</f>
        <v>36.72034820025781</v>
      </c>
      <c r="BY24" s="36"/>
      <c r="BZ24" s="36"/>
      <c r="CA24" s="36"/>
      <c r="CB24" s="56">
        <f t="shared" si="47"/>
        <v>128652.71181727655</v>
      </c>
      <c r="CC24" s="57">
        <f t="shared" si="24"/>
        <v>35574.203482087949</v>
      </c>
      <c r="CD24" s="28">
        <f>'Capital Cost'!G20</f>
        <v>0</v>
      </c>
      <c r="CE24" s="53">
        <f>'O&amp;M'!$G$10</f>
        <v>4052.67</v>
      </c>
      <c r="CF24" s="29"/>
      <c r="CG24" s="53">
        <f t="shared" si="62"/>
        <v>4052.67</v>
      </c>
      <c r="CH24" s="54">
        <f t="shared" si="2"/>
        <v>1120.5970259430389</v>
      </c>
      <c r="CI24" s="26"/>
      <c r="CJ24" s="52">
        <f>('Safety and Crash Costs'!$V$18+'Safety and Crash Costs'!$V$34)/20</f>
        <v>11114.924999999999</v>
      </c>
      <c r="CK24" s="55">
        <f>'Health - Emissions'!CF23</f>
        <v>1.1544790806435898</v>
      </c>
      <c r="CL24" s="36"/>
      <c r="CM24" s="56">
        <f>'Health - Emissions'!CG23</f>
        <v>0.69736976543310458</v>
      </c>
      <c r="CN24" s="56">
        <f>'Health - Mortality'!AV21</f>
        <v>365.75229556895113</v>
      </c>
      <c r="CO24" s="56">
        <f>'Health - Emissions'!BX23*'Economic Activity'!$C$3</f>
        <v>18.967525897767423</v>
      </c>
      <c r="CP24" s="36"/>
      <c r="CQ24" s="36"/>
      <c r="CR24" s="36"/>
      <c r="CS24" s="56">
        <f t="shared" si="48"/>
        <v>11501.496670312796</v>
      </c>
      <c r="CT24" s="57">
        <f t="shared" si="25"/>
        <v>3180.5988316397652</v>
      </c>
      <c r="CU24" s="28">
        <f>'Capital Cost'!F20</f>
        <v>0</v>
      </c>
      <c r="CV24" s="53">
        <f>'O&amp;M'!$H$10</f>
        <v>1817.1089999999999</v>
      </c>
      <c r="CW24" s="29"/>
      <c r="CX24" s="53">
        <f t="shared" si="63"/>
        <v>1817.1089999999999</v>
      </c>
      <c r="CY24" s="54">
        <f t="shared" si="4"/>
        <v>502.44578048899353</v>
      </c>
      <c r="CZ24" s="26"/>
      <c r="DA24" s="52">
        <f>('Safety and Crash Costs'!$V$19+'Safety and Crash Costs'!$V$35)/20</f>
        <v>437404.52500000002</v>
      </c>
      <c r="DB24" s="55">
        <f>'Health - Emissions'!CT23</f>
        <v>50.921719880770027</v>
      </c>
      <c r="DC24" s="36"/>
      <c r="DD24" s="56">
        <f>'Health - Emissions'!CU23</f>
        <v>30.759559392714422</v>
      </c>
      <c r="DE24" s="56">
        <f>'Health - Mortality'!AW21</f>
        <v>16132.588500718402</v>
      </c>
      <c r="DF24" s="56">
        <f>'Health - Emissions'!CL23*'Economic Activity'!$C$3</f>
        <v>836.61891912231465</v>
      </c>
      <c r="DG24" s="36"/>
      <c r="DH24" s="36"/>
      <c r="DI24" s="36"/>
      <c r="DJ24" s="56">
        <f t="shared" si="49"/>
        <v>454455.41369911423</v>
      </c>
      <c r="DK24" s="57">
        <f t="shared" si="26"/>
        <v>125675.66853512447</v>
      </c>
      <c r="DL24" s="28">
        <f>'Capital Cost'!E20</f>
        <v>0</v>
      </c>
      <c r="DM24" s="53">
        <f>'O&amp;M'!$I$10</f>
        <v>12625.473</v>
      </c>
      <c r="DN24" s="29"/>
      <c r="DO24" s="53">
        <f t="shared" si="64"/>
        <v>12625.473</v>
      </c>
      <c r="DP24" s="54">
        <f t="shared" si="5"/>
        <v>3491.0484927033626</v>
      </c>
      <c r="DQ24" s="26"/>
      <c r="DR24" s="52">
        <f>('Safety and Crash Costs'!$V$20+'Safety and Crash Costs'!$V$36)/20</f>
        <v>338656.9</v>
      </c>
      <c r="DS24" s="55">
        <f>'Health - Emissions'!DH23</f>
        <v>18.595780675457576</v>
      </c>
      <c r="DT24" s="36"/>
      <c r="DU24" s="56">
        <f>'Health - Emissions'!DI23</f>
        <v>11.232888863139845</v>
      </c>
      <c r="DV24" s="56">
        <f>'Health - Mortality'!AX21</f>
        <v>5891.3579154277359</v>
      </c>
      <c r="DW24" s="56">
        <f>'Health - Emissions'!CZ23*'Economic Activity'!$C$3</f>
        <v>305.51956935790923</v>
      </c>
      <c r="DX24" s="36"/>
      <c r="DY24" s="36"/>
      <c r="DZ24" s="36"/>
      <c r="EA24" s="56">
        <f t="shared" si="50"/>
        <v>344883.60615432425</v>
      </c>
      <c r="EB24" s="57">
        <f t="shared" si="27"/>
        <v>95368.654046060357</v>
      </c>
      <c r="EC24" s="28">
        <f>'Capital Cost'!K20</f>
        <v>0</v>
      </c>
      <c r="ED24" s="53">
        <f>'O&amp;M'!$J$10</f>
        <v>6594.4049999999997</v>
      </c>
      <c r="EE24" s="29"/>
      <c r="EF24" s="53">
        <f t="shared" si="65"/>
        <v>6594.4049999999997</v>
      </c>
      <c r="EG24" s="54">
        <f t="shared" si="7"/>
        <v>1823.4079337483449</v>
      </c>
      <c r="EH24" s="26"/>
      <c r="EI24" s="52">
        <f>('Safety and Crash Costs'!$V$21+'Safety and Crash Costs'!$V$37)/20</f>
        <v>143994.92499999999</v>
      </c>
      <c r="EJ24" s="55">
        <f>'Health - Emissions'!DV23</f>
        <v>7.2617821196747174</v>
      </c>
      <c r="EK24" s="36"/>
      <c r="EL24" s="56">
        <f>'Health - Emissions'!DW23</f>
        <v>4.3865214869036437</v>
      </c>
      <c r="EM24" s="56">
        <f>'Health - Mortality'!AY21</f>
        <v>2300.6163773118678</v>
      </c>
      <c r="EN24" s="56">
        <f>'Health - Emissions'!DN23*'Economic Activity'!$C$3</f>
        <v>119.30752382458893</v>
      </c>
      <c r="EO24" s="36"/>
      <c r="EP24" s="36"/>
      <c r="EQ24" s="36"/>
      <c r="ER24" s="56">
        <f t="shared" si="51"/>
        <v>146426.49720474303</v>
      </c>
      <c r="ES24" s="57">
        <f t="shared" si="28"/>
        <v>40490.280000303857</v>
      </c>
      <c r="ET24" s="28">
        <f>'Capital Cost'!J20</f>
        <v>0</v>
      </c>
      <c r="EU24" s="53">
        <f>'O&amp;M'!$K$10</f>
        <v>6250.6319999999996</v>
      </c>
      <c r="EV24" s="29"/>
      <c r="EW24" s="53">
        <f t="shared" si="66"/>
        <v>6250.6319999999996</v>
      </c>
      <c r="EX24" s="54">
        <f t="shared" si="8"/>
        <v>1728.3518345842097</v>
      </c>
      <c r="EY24" s="26"/>
      <c r="EZ24" s="52">
        <f>('Safety and Crash Costs'!$V$22+'Safety and Crash Costs'!$V$38)/20</f>
        <v>212730</v>
      </c>
      <c r="FA24" s="55">
        <f>'Health - Emissions'!EJ23</f>
        <v>12.000984875496947</v>
      </c>
      <c r="FB24" s="36"/>
      <c r="FC24" s="56">
        <f>'Health - Emissions'!EK23</f>
        <v>7.2492643200827747</v>
      </c>
      <c r="FD24" s="56">
        <f>'Health - Mortality'!AZ21</f>
        <v>3802.0505012999538</v>
      </c>
      <c r="FE24" s="56">
        <f>'Health - Emissions'!EB23*'Economic Activity'!$C$3</f>
        <v>197.17030411482781</v>
      </c>
      <c r="FF24" s="36"/>
      <c r="FG24" s="36"/>
      <c r="FH24" s="36"/>
      <c r="FI24" s="56">
        <f t="shared" si="52"/>
        <v>216748.47105461036</v>
      </c>
      <c r="FJ24" s="57">
        <f t="shared" si="30"/>
        <v>59936.28403561857</v>
      </c>
      <c r="FK24" s="28">
        <f>'Capital Cost'!L20</f>
        <v>0</v>
      </c>
      <c r="FL24" s="53">
        <f>'O&amp;M'!$L$10</f>
        <v>7062.8190000000004</v>
      </c>
      <c r="FM24" s="29"/>
      <c r="FN24" s="53">
        <f t="shared" si="67"/>
        <v>7062.8190000000004</v>
      </c>
      <c r="FO24" s="54">
        <f t="shared" si="10"/>
        <v>1952.9283080472844</v>
      </c>
      <c r="FP24" s="26"/>
      <c r="FQ24" s="52">
        <f>('Safety and Crash Costs'!$V$23+'Safety and Crash Costs'!$V$39)/20</f>
        <v>36292.275000000001</v>
      </c>
      <c r="FR24" s="55">
        <f>'Health - Emissions'!EX23</f>
        <v>1.7350373688521872</v>
      </c>
      <c r="FS24" s="36"/>
      <c r="FT24" s="56">
        <f>'Health - Emissions'!EY23</f>
        <v>1.0480593570042001</v>
      </c>
      <c r="FU24" s="56">
        <f>'Health - Mortality'!BA21</f>
        <v>549.67986098269716</v>
      </c>
      <c r="FV24" s="56">
        <f>'Health - Emissions'!EP23*'Economic Activity'!$C$3</f>
        <v>28.505814249100172</v>
      </c>
      <c r="FW24" s="36"/>
      <c r="FX24" s="36"/>
      <c r="FY24" s="36"/>
      <c r="FZ24" s="56">
        <f t="shared" si="53"/>
        <v>36873.243771957656</v>
      </c>
      <c r="GA24" s="57">
        <f t="shared" si="31"/>
        <v>10196.268883363211</v>
      </c>
      <c r="GB24" s="28">
        <f>'Capital Cost'!M20</f>
        <v>0</v>
      </c>
      <c r="GC24" s="53">
        <f>'O&amp;M'!$M$10</f>
        <v>2523.1620000000003</v>
      </c>
      <c r="GD24" s="29"/>
      <c r="GE24" s="53">
        <f t="shared" si="68"/>
        <v>2523.1620000000003</v>
      </c>
      <c r="GF24" s="54">
        <f t="shared" si="11"/>
        <v>697.67531853629589</v>
      </c>
      <c r="GG24" s="26"/>
      <c r="GH24" s="52">
        <f>('Safety and Crash Costs'!$V$24+'Safety and Crash Costs'!$V$40)/20</f>
        <v>43497.4</v>
      </c>
      <c r="GI24" s="55">
        <f>'Health - Emissions'!FL23</f>
        <v>8.2327994719976765</v>
      </c>
      <c r="GJ24" s="36"/>
      <c r="GK24" s="56">
        <f>'Health - Emissions'!FM23</f>
        <v>4.9730701343190979</v>
      </c>
      <c r="GL24" s="56">
        <f>'Health - Mortality'!BB21</f>
        <v>2608.2458801794464</v>
      </c>
      <c r="GM24" s="56">
        <f>'Health - Emissions'!FD23*'Economic Activity'!$C$3</f>
        <v>135.26086337501184</v>
      </c>
      <c r="GN24" s="36"/>
      <c r="GO24" s="36"/>
      <c r="GP24" s="36"/>
      <c r="GQ24" s="56">
        <f t="shared" si="54"/>
        <v>46254.112613160782</v>
      </c>
      <c r="GR24" s="57">
        <f t="shared" si="33"/>
        <v>12792.066186403143</v>
      </c>
      <c r="GS24" s="28">
        <f>'Capital Cost'!N20</f>
        <v>0</v>
      </c>
      <c r="GT24" s="53">
        <f>'O&amp;M'!$N$10</f>
        <v>4541.6970000000001</v>
      </c>
      <c r="GU24" s="29"/>
      <c r="GV24" s="53">
        <f t="shared" si="69"/>
        <v>4541.6970000000001</v>
      </c>
      <c r="GW24" s="54">
        <f t="shared" si="13"/>
        <v>1255.8170665103307</v>
      </c>
      <c r="GX24" s="26"/>
      <c r="GY24" s="52">
        <f>('Safety and Crash Costs'!$V$25+'Safety and Crash Costs'!$V$41)/20</f>
        <v>95168.4</v>
      </c>
      <c r="GZ24" s="55">
        <f>'Health - Emissions'!FZ23</f>
        <v>4.9051981894059864</v>
      </c>
      <c r="HA24" s="36"/>
      <c r="HB24" s="56">
        <f>'Health - Emissions'!GA23</f>
        <v>2.9630133348470693</v>
      </c>
      <c r="HC24" s="56">
        <f>'Health - Mortality'!BC21</f>
        <v>1554.0233929537712</v>
      </c>
      <c r="HD24" s="56">
        <f>'Health - Emissions'!FR23*'Economic Activity'!$C$3</f>
        <v>80.590003969039444</v>
      </c>
      <c r="HE24" s="36"/>
      <c r="HF24" s="36"/>
      <c r="HG24" s="36"/>
      <c r="HH24" s="56">
        <f t="shared" si="55"/>
        <v>96810.881608447045</v>
      </c>
      <c r="HI24" s="57">
        <f t="shared" si="35"/>
        <v>26770.456528673152</v>
      </c>
      <c r="HJ24" s="28">
        <f>'Capital Cost'!O20</f>
        <v>0</v>
      </c>
      <c r="HK24" s="53">
        <f>'O&amp;M'!$O$10</f>
        <v>5217.3509999999997</v>
      </c>
      <c r="HL24" s="29"/>
      <c r="HM24" s="53">
        <f t="shared" si="70"/>
        <v>5217.3509999999997</v>
      </c>
      <c r="HN24" s="54">
        <f t="shared" si="15"/>
        <v>1442.6410277424363</v>
      </c>
      <c r="HO24" s="26"/>
      <c r="HP24" s="52">
        <f>('Safety and Crash Costs'!$V$26+'Safety and Crash Costs'!$V$42)/20</f>
        <v>142756.9</v>
      </c>
      <c r="HQ24" s="55">
        <f>'Health - Emissions'!GN23</f>
        <v>14.989392453424442</v>
      </c>
      <c r="HR24" s="36"/>
      <c r="HS24" s="56">
        <f>'Health - Emissions'!GO23</f>
        <v>9.0544292005724447</v>
      </c>
      <c r="HT24" s="56">
        <f>'Health - Mortality'!BD21</f>
        <v>4748.8125085537413</v>
      </c>
      <c r="HU24" s="56">
        <f>'Health - Emissions'!GF23*'Economic Activity'!$C$3</f>
        <v>246.26837707066275</v>
      </c>
      <c r="HV24" s="36"/>
      <c r="HW24" s="36"/>
      <c r="HX24" s="36"/>
      <c r="HY24" s="56">
        <f t="shared" si="56"/>
        <v>147776.02470727838</v>
      </c>
      <c r="HZ24" s="57">
        <f t="shared" si="37"/>
        <v>40865.705799924617</v>
      </c>
      <c r="IA24" s="28">
        <f>'Capital Cost'!P20</f>
        <v>0</v>
      </c>
      <c r="IB24" s="53">
        <f>'O&amp;M'!$P$10</f>
        <v>10253.235000000001</v>
      </c>
      <c r="IC24" s="29"/>
      <c r="ID24" s="53">
        <f t="shared" si="71"/>
        <v>10253.235000000001</v>
      </c>
      <c r="IE24" s="54">
        <f t="shared" si="17"/>
        <v>2835.1049178183948</v>
      </c>
      <c r="IF24" s="26"/>
      <c r="IG24" s="52">
        <f>('Safety and Crash Costs'!$V$27+'Safety and Crash Costs'!$V$43)/20</f>
        <v>137635.97500000001</v>
      </c>
      <c r="IH24" s="55">
        <f>'Health - Emissions'!HB23</f>
        <v>15.7627041803891</v>
      </c>
      <c r="II24" s="36"/>
      <c r="IJ24" s="56">
        <f>'Health - Emissions'!HC23</f>
        <v>9.5215526215870323</v>
      </c>
      <c r="IK24" s="56">
        <f>'Health - Mortality'!BE21</f>
        <v>4993.8065877622066</v>
      </c>
      <c r="IL24" s="56">
        <f>'Health - Emissions'!GT23*'Economic Activity'!$C$3</f>
        <v>258.97351002125072</v>
      </c>
      <c r="IM24" s="36"/>
      <c r="IN24" s="36"/>
      <c r="IO24" s="36"/>
      <c r="IP24" s="56">
        <f t="shared" si="57"/>
        <v>142914.03935458543</v>
      </c>
      <c r="IQ24" s="57">
        <f t="shared" si="39"/>
        <v>39521.553516664113</v>
      </c>
      <c r="IR24" s="28">
        <f>'Capital Cost'!Q20</f>
        <v>0</v>
      </c>
      <c r="IS24" s="53">
        <f>'O&amp;M'!$Q$10</f>
        <v>9677.1810000000005</v>
      </c>
      <c r="IT24" s="29"/>
      <c r="IU24" s="53">
        <f t="shared" si="72"/>
        <v>9677.1810000000005</v>
      </c>
      <c r="IV24" s="54">
        <f t="shared" si="19"/>
        <v>2675.8211865541689</v>
      </c>
      <c r="IW24" s="26"/>
    </row>
    <row r="25" spans="1:257" x14ac:dyDescent="0.3">
      <c r="A25">
        <v>20</v>
      </c>
      <c r="B25" s="34">
        <v>2041</v>
      </c>
      <c r="C25" s="52">
        <f>('Safety and Crash Costs'!$V$13+'Safety and Crash Costs'!$V$29)/20</f>
        <v>435297.07500000001</v>
      </c>
      <c r="D25" s="55">
        <f>'Health - Emissions'!N24</f>
        <v>58.653158255369647</v>
      </c>
      <c r="E25" s="35"/>
      <c r="F25" s="56">
        <f>'Health - Emissions'!O24</f>
        <v>34.521323573095046</v>
      </c>
      <c r="G25" s="56">
        <f>'Health - Mortality'!AQ22</f>
        <v>18105.535927696077</v>
      </c>
      <c r="H25" s="56">
        <f>'Health - Emissions'!F24*'Economic Activity'!$C$3</f>
        <v>938.93387891749626</v>
      </c>
      <c r="I25" s="35"/>
      <c r="J25" s="36"/>
      <c r="K25" s="36"/>
      <c r="L25" s="56">
        <f t="shared" si="40"/>
        <v>454434.71928844205</v>
      </c>
      <c r="M25" s="57">
        <f t="shared" si="43"/>
        <v>117451.88474348375</v>
      </c>
      <c r="N25" s="28">
        <f>'Capital Cost'!C21</f>
        <v>0</v>
      </c>
      <c r="O25" s="53">
        <f>'O&amp;M'!$C$10</f>
        <v>12525.21</v>
      </c>
      <c r="P25" s="29"/>
      <c r="Q25" s="53">
        <f t="shared" si="58"/>
        <v>12525.21</v>
      </c>
      <c r="R25" s="54">
        <f t="shared" si="41"/>
        <v>3236.7522782342962</v>
      </c>
      <c r="S25" s="26"/>
      <c r="T25" s="52">
        <f>('Safety and Crash Costs'!$V$14+'Safety and Crash Costs'!$V$30)/20</f>
        <v>181788.7</v>
      </c>
      <c r="U25" s="55">
        <f>'Health - Emissions'!AB24</f>
        <v>10.688848821577317</v>
      </c>
      <c r="V25" s="35"/>
      <c r="W25" s="56">
        <f>'Health - Emissions'!AC24</f>
        <v>6.2911055392278961</v>
      </c>
      <c r="X25" s="56">
        <f>'Health - Mortality'!AR22</f>
        <v>3299.521153186372</v>
      </c>
      <c r="Y25" s="56">
        <f>'Health - Emissions'!T24*'Economic Activity'!$C$3</f>
        <v>171.10966542517772</v>
      </c>
      <c r="Z25" s="35"/>
      <c r="AA25" s="36"/>
      <c r="AB25" s="36"/>
      <c r="AC25" s="56">
        <f t="shared" si="44"/>
        <v>185276.31077297236</v>
      </c>
      <c r="AD25" s="57">
        <f t="shared" si="21"/>
        <v>47882.075429762925</v>
      </c>
      <c r="AE25" s="28">
        <f>'Capital Cost'!D21</f>
        <v>0</v>
      </c>
      <c r="AF25" s="53">
        <f>'O&amp;M'!$D$10</f>
        <v>4532.2169999999996</v>
      </c>
      <c r="AG25" s="29"/>
      <c r="AH25" s="53">
        <f t="shared" si="59"/>
        <v>4532.2169999999996</v>
      </c>
      <c r="AI25" s="54">
        <f t="shared" si="42"/>
        <v>1171.2109976760635</v>
      </c>
      <c r="AJ25" s="26"/>
      <c r="AK25" s="52">
        <f>('Safety and Crash Costs'!$V$15+'Safety and Crash Costs'!$V$31)/20</f>
        <v>164338.04999999999</v>
      </c>
      <c r="AL25" s="55">
        <f>'Health - Emissions'!AP24</f>
        <v>8.1228310235578416</v>
      </c>
      <c r="AM25" s="36"/>
      <c r="AN25" s="56">
        <f>'Health - Emissions'!AQ24</f>
        <v>4.7808316966144577</v>
      </c>
      <c r="AO25" s="56">
        <f>'Health - Mortality'!AS22</f>
        <v>2507.4218218789069</v>
      </c>
      <c r="AP25" s="56">
        <f>'Health - Emissions'!AH24*'Economic Activity'!$C$3</f>
        <v>130.03223470992398</v>
      </c>
      <c r="AQ25" s="35"/>
      <c r="AR25" s="36"/>
      <c r="AS25" s="36"/>
      <c r="AT25" s="56">
        <f t="shared" si="73"/>
        <v>166988.40771930898</v>
      </c>
      <c r="AU25" s="57">
        <f t="shared" si="22"/>
        <v>43155.376124999522</v>
      </c>
      <c r="AV25" s="28">
        <f>'Capital Cost'!I21</f>
        <v>0</v>
      </c>
      <c r="AW25" s="53">
        <f>'O&amp;M'!$E$10</f>
        <v>8343.6509999999998</v>
      </c>
      <c r="AX25" s="29"/>
      <c r="AY25" s="53">
        <f t="shared" si="60"/>
        <v>8343.6509999999998</v>
      </c>
      <c r="AZ25" s="54">
        <f t="shared" si="0"/>
        <v>2156.1579712469384</v>
      </c>
      <c r="BA25" s="26"/>
      <c r="BB25" s="52">
        <f>('Safety and Crash Costs'!$V$16+'Safety and Crash Costs'!$V$32)/20</f>
        <v>24774.025000000001</v>
      </c>
      <c r="BC25" s="55">
        <f>'Health - Emissions'!BD24</f>
        <v>2.9917156900962971</v>
      </c>
      <c r="BD25" s="36"/>
      <c r="BE25" s="56">
        <f>'Health - Emissions'!BE24</f>
        <v>1.7608256477316739</v>
      </c>
      <c r="BF25" s="56">
        <f>'Health - Mortality'!AT22</f>
        <v>923.5072334324243</v>
      </c>
      <c r="BG25" s="56">
        <f>'Health - Emissions'!AV24*'Economic Activity'!$C$3</f>
        <v>47.892105064321704</v>
      </c>
      <c r="BH25" s="36"/>
      <c r="BI25" s="36"/>
      <c r="BJ25" s="36"/>
      <c r="BK25" s="56">
        <f t="shared" si="46"/>
        <v>25750.176879834577</v>
      </c>
      <c r="BL25" s="57">
        <f t="shared" si="23"/>
        <v>6655.2183558232764</v>
      </c>
      <c r="BM25" s="28">
        <f>'Capital Cost'!H21</f>
        <v>0</v>
      </c>
      <c r="BN25" s="53">
        <f>'O&amp;M'!$F$10</f>
        <v>2683.1880000000001</v>
      </c>
      <c r="BO25" s="29"/>
      <c r="BP25" s="53">
        <f t="shared" si="61"/>
        <v>2683.1880000000001</v>
      </c>
      <c r="BQ25" s="54">
        <f t="shared" si="1"/>
        <v>693.38676732213878</v>
      </c>
      <c r="BR25" s="26"/>
      <c r="BS25" s="52">
        <f>('Safety and Crash Costs'!$V$17+'Safety and Crash Costs'!$V$33)/20</f>
        <v>127904.325</v>
      </c>
      <c r="BT25" s="55">
        <f>'Health - Emissions'!BR24</f>
        <v>2.5450994573087824</v>
      </c>
      <c r="BU25" s="36"/>
      <c r="BV25" s="56">
        <f>'Health - Emissions'!BS24</f>
        <v>1.4979619939463629</v>
      </c>
      <c r="BW25" s="56">
        <f>'Health - Mortality'!AU22</f>
        <v>785.64208705070598</v>
      </c>
      <c r="BX25" s="56">
        <f>'Health - Emissions'!BJ24*'Economic Activity'!$C$3</f>
        <v>40.7425648807748</v>
      </c>
      <c r="BY25" s="36"/>
      <c r="BZ25" s="36"/>
      <c r="CA25" s="36"/>
      <c r="CB25" s="56">
        <f t="shared" si="47"/>
        <v>128734.75271338271</v>
      </c>
      <c r="CC25" s="57">
        <f t="shared" si="24"/>
        <v>33268.257881480022</v>
      </c>
      <c r="CD25" s="28">
        <f>'Capital Cost'!G21</f>
        <v>0</v>
      </c>
      <c r="CE25" s="53">
        <f>'O&amp;M'!$G$10</f>
        <v>4052.67</v>
      </c>
      <c r="CF25" s="29"/>
      <c r="CG25" s="53">
        <f t="shared" si="62"/>
        <v>4052.67</v>
      </c>
      <c r="CH25" s="54">
        <f t="shared" si="2"/>
        <v>1047.2869401336814</v>
      </c>
      <c r="CI25" s="26"/>
      <c r="CJ25" s="52">
        <f>('Safety and Crash Costs'!$V$18+'Safety and Crash Costs'!$V$34)/20</f>
        <v>11114.924999999999</v>
      </c>
      <c r="CK25" s="55">
        <f>'Health - Emissions'!CF24</f>
        <v>1.3146454822713043</v>
      </c>
      <c r="CL25" s="36"/>
      <c r="CM25" s="56">
        <f>'Health - Emissions'!CG24</f>
        <v>0.7737571756971926</v>
      </c>
      <c r="CN25" s="56">
        <f>'Health - Mortality'!AV22</f>
        <v>405.81550456010365</v>
      </c>
      <c r="CO25" s="56">
        <f>'Health - Emissions'!BX24*'Economic Activity'!$C$3</f>
        <v>21.04516139942649</v>
      </c>
      <c r="CP25" s="36"/>
      <c r="CQ25" s="36"/>
      <c r="CR25" s="36"/>
      <c r="CS25" s="56">
        <f t="shared" si="48"/>
        <v>11543.874068617497</v>
      </c>
      <c r="CT25" s="57">
        <f t="shared" si="25"/>
        <v>2983.5445833753129</v>
      </c>
      <c r="CU25" s="28">
        <f>'Capital Cost'!F21</f>
        <v>0</v>
      </c>
      <c r="CV25" s="53">
        <f>'O&amp;M'!$H$10</f>
        <v>1817.1089999999999</v>
      </c>
      <c r="CW25" s="29"/>
      <c r="CX25" s="53">
        <f t="shared" si="63"/>
        <v>1817.1089999999999</v>
      </c>
      <c r="CY25" s="54">
        <f t="shared" si="4"/>
        <v>469.57549578410612</v>
      </c>
      <c r="CZ25" s="26"/>
      <c r="DA25" s="52">
        <f>('Safety and Crash Costs'!$V$19+'Safety and Crash Costs'!$V$35)/20</f>
        <v>437404.52500000002</v>
      </c>
      <c r="DB25" s="55">
        <f>'Health - Emissions'!CT24</f>
        <v>57.986333501530176</v>
      </c>
      <c r="DC25" s="36"/>
      <c r="DD25" s="56">
        <f>'Health - Emissions'!CU24</f>
        <v>34.128852412486502</v>
      </c>
      <c r="DE25" s="56">
        <f>'Health - Mortality'!AW22</f>
        <v>17899.695016528905</v>
      </c>
      <c r="DF25" s="56">
        <f>'Health - Emissions'!CL24*'Economic Activity'!$C$3</f>
        <v>928.25918771067836</v>
      </c>
      <c r="DG25" s="36"/>
      <c r="DH25" s="36"/>
      <c r="DI25" s="36"/>
      <c r="DJ25" s="56">
        <f t="shared" si="49"/>
        <v>456324.59439015365</v>
      </c>
      <c r="DK25" s="57">
        <f t="shared" si="26"/>
        <v>117940.06749820027</v>
      </c>
      <c r="DL25" s="28">
        <f>'Capital Cost'!E21</f>
        <v>0</v>
      </c>
      <c r="DM25" s="53">
        <f>'O&amp;M'!$I$10</f>
        <v>12625.473</v>
      </c>
      <c r="DN25" s="29"/>
      <c r="DO25" s="53">
        <f t="shared" si="64"/>
        <v>12625.473</v>
      </c>
      <c r="DP25" s="54">
        <f t="shared" si="5"/>
        <v>3262.6621427134232</v>
      </c>
      <c r="DQ25" s="26"/>
      <c r="DR25" s="52">
        <f>('Safety and Crash Costs'!$V$20+'Safety and Crash Costs'!$V$36)/20</f>
        <v>338656.9</v>
      </c>
      <c r="DS25" s="55">
        <f>'Health - Emissions'!DH24</f>
        <v>21.175662222194514</v>
      </c>
      <c r="DT25" s="36"/>
      <c r="DU25" s="56">
        <f>'Health - Emissions'!DI24</f>
        <v>12.463299661787921</v>
      </c>
      <c r="DV25" s="56">
        <f>'Health - Mortality'!AX22</f>
        <v>6536.6763625486401</v>
      </c>
      <c r="DW25" s="56">
        <f>'Health - Emissions'!CZ24*'Economic Activity'!$C$3</f>
        <v>338.98509918878165</v>
      </c>
      <c r="DX25" s="36"/>
      <c r="DY25" s="36"/>
      <c r="DZ25" s="36"/>
      <c r="EA25" s="56">
        <f t="shared" si="50"/>
        <v>345566.20042362151</v>
      </c>
      <c r="EB25" s="57">
        <f t="shared" si="27"/>
        <v>89307.125176885645</v>
      </c>
      <c r="EC25" s="28">
        <f>'Capital Cost'!K21</f>
        <v>0</v>
      </c>
      <c r="ED25" s="53">
        <f>'O&amp;M'!$J$10</f>
        <v>6594.4049999999997</v>
      </c>
      <c r="EE25" s="29"/>
      <c r="EF25" s="53">
        <f t="shared" si="65"/>
        <v>6594.4049999999997</v>
      </c>
      <c r="EG25" s="54">
        <f t="shared" si="7"/>
        <v>1704.1195642507898</v>
      </c>
      <c r="EH25" s="26"/>
      <c r="EI25" s="52">
        <f>('Safety and Crash Costs'!$V$21+'Safety and Crash Costs'!$V$37)/20</f>
        <v>143994.92499999999</v>
      </c>
      <c r="EJ25" s="55">
        <f>'Health - Emissions'!DV24</f>
        <v>8.269243866720311</v>
      </c>
      <c r="EK25" s="36"/>
      <c r="EL25" s="56">
        <f>'Health - Emissions'!DW24</f>
        <v>4.8670054898833923</v>
      </c>
      <c r="EM25" s="56">
        <f>'Health - Mortality'!AY22</f>
        <v>2552.6177341026364</v>
      </c>
      <c r="EN25" s="56">
        <f>'Health - Emissions'!DN24*'Economic Activity'!$C$3</f>
        <v>132.37604675420192</v>
      </c>
      <c r="EO25" s="36"/>
      <c r="EP25" s="36"/>
      <c r="EQ25" s="36"/>
      <c r="ER25" s="56">
        <f t="shared" si="51"/>
        <v>146693.05503021347</v>
      </c>
      <c r="ES25" s="57">
        <f t="shared" si="28"/>
        <v>37910.714550708115</v>
      </c>
      <c r="ET25" s="28">
        <f>'Capital Cost'!J21</f>
        <v>0</v>
      </c>
      <c r="EU25" s="53">
        <f>'O&amp;M'!$K$10</f>
        <v>6250.6319999999996</v>
      </c>
      <c r="EV25" s="29"/>
      <c r="EW25" s="53">
        <f t="shared" si="66"/>
        <v>6250.6319999999996</v>
      </c>
      <c r="EX25" s="54">
        <f t="shared" si="8"/>
        <v>1615.2820883964575</v>
      </c>
      <c r="EY25" s="26"/>
      <c r="EZ25" s="52">
        <f>('Safety and Crash Costs'!$V$22+'Safety and Crash Costs'!$V$38)/20</f>
        <v>212730</v>
      </c>
      <c r="FA25" s="55">
        <f>'Health - Emissions'!EJ24</f>
        <v>13.665938875724841</v>
      </c>
      <c r="FB25" s="36"/>
      <c r="FC25" s="56">
        <f>'Health - Emissions'!EK24</f>
        <v>8.0433230177480901</v>
      </c>
      <c r="FD25" s="56">
        <f>'Health - Mortality'!AZ22</f>
        <v>4218.5136258622997</v>
      </c>
      <c r="FE25" s="56">
        <f>'Health - Emissions'!EB24*'Economic Activity'!$C$3</f>
        <v>218.76763978790569</v>
      </c>
      <c r="FF25" s="36"/>
      <c r="FG25" s="36"/>
      <c r="FH25" s="36"/>
      <c r="FI25" s="56">
        <f t="shared" si="52"/>
        <v>217188.99052754368</v>
      </c>
      <c r="FJ25" s="57">
        <f t="shared" si="30"/>
        <v>56129.797314995514</v>
      </c>
      <c r="FK25" s="28">
        <f>'Capital Cost'!L21</f>
        <v>0</v>
      </c>
      <c r="FL25" s="53">
        <f>'O&amp;M'!$L$10</f>
        <v>7062.8190000000004</v>
      </c>
      <c r="FM25" s="29"/>
      <c r="FN25" s="53">
        <f t="shared" si="67"/>
        <v>7062.8190000000004</v>
      </c>
      <c r="FO25" s="54">
        <f t="shared" si="10"/>
        <v>1825.1666430348455</v>
      </c>
      <c r="FP25" s="26"/>
      <c r="FQ25" s="52">
        <f>('Safety and Crash Costs'!$V$23+'Safety and Crash Costs'!$V$39)/20</f>
        <v>36292.275000000001</v>
      </c>
      <c r="FR25" s="55">
        <f>'Health - Emissions'!EX24</f>
        <v>1.975747397052745</v>
      </c>
      <c r="FS25" s="36"/>
      <c r="FT25" s="56">
        <f>'Health - Emissions'!EY24</f>
        <v>1.1628600610967779</v>
      </c>
      <c r="FU25" s="56">
        <f>'Health - Mortality'!BA22</f>
        <v>609.88984302674953</v>
      </c>
      <c r="FV25" s="56">
        <f>'Health - Emissions'!EP24*'Economic Activity'!$C$3</f>
        <v>31.628240020750262</v>
      </c>
      <c r="FW25" s="36"/>
      <c r="FX25" s="36"/>
      <c r="FY25" s="36"/>
      <c r="FZ25" s="56">
        <f t="shared" si="53"/>
        <v>36936.931690505655</v>
      </c>
      <c r="GA25" s="57">
        <f t="shared" si="31"/>
        <v>9545.7884072224424</v>
      </c>
      <c r="GB25" s="28">
        <f>'Capital Cost'!M21</f>
        <v>0</v>
      </c>
      <c r="GC25" s="53">
        <f>'O&amp;M'!$M$10</f>
        <v>2523.1620000000003</v>
      </c>
      <c r="GD25" s="29"/>
      <c r="GE25" s="53">
        <f t="shared" si="68"/>
        <v>2523.1620000000003</v>
      </c>
      <c r="GF25" s="54">
        <f t="shared" si="11"/>
        <v>652.03300797784664</v>
      </c>
      <c r="GG25" s="26"/>
      <c r="GH25" s="52">
        <f>('Safety and Crash Costs'!$V$24+'Safety and Crash Costs'!$V$40)/20</f>
        <v>43497.4</v>
      </c>
      <c r="GI25" s="55">
        <f>'Health - Emissions'!FL24</f>
        <v>9.374975098096785</v>
      </c>
      <c r="GJ25" s="36"/>
      <c r="GK25" s="56">
        <f>'Health - Emissions'!FM24</f>
        <v>5.5178025954208358</v>
      </c>
      <c r="GL25" s="56">
        <f>'Health - Mortality'!BB22</f>
        <v>2893.9438814329819</v>
      </c>
      <c r="GM25" s="56">
        <f>'Health - Emissions'!FD24*'Economic Activity'!$C$3</f>
        <v>150.07685852628558</v>
      </c>
      <c r="GN25" s="36"/>
      <c r="GO25" s="36"/>
      <c r="GP25" s="36"/>
      <c r="GQ25" s="56">
        <f t="shared" si="54"/>
        <v>46556.313517652787</v>
      </c>
      <c r="GR25" s="57">
        <f t="shared" si="33"/>
        <v>12033.804138613332</v>
      </c>
      <c r="GS25" s="28">
        <f>'Capital Cost'!N21</f>
        <v>0</v>
      </c>
      <c r="GT25" s="53">
        <f>'O&amp;M'!$N$10</f>
        <v>4541.6970000000001</v>
      </c>
      <c r="GU25" s="29"/>
      <c r="GV25" s="53">
        <f t="shared" si="69"/>
        <v>4541.6970000000001</v>
      </c>
      <c r="GW25" s="54">
        <f t="shared" si="13"/>
        <v>1173.6608098227391</v>
      </c>
      <c r="GX25" s="26"/>
      <c r="GY25" s="52">
        <f>('Safety and Crash Costs'!$V$25+'Safety and Crash Costs'!$V$41)/20</f>
        <v>95168.4</v>
      </c>
      <c r="GZ25" s="55">
        <f>'Health - Emissions'!FZ24</f>
        <v>5.5857197825993063</v>
      </c>
      <c r="HA25" s="36"/>
      <c r="HB25" s="56">
        <f>'Health - Emissions'!GA24</f>
        <v>3.2875713045869226</v>
      </c>
      <c r="HC25" s="56">
        <f>'Health - Mortality'!BC22</f>
        <v>1724.245602693285</v>
      </c>
      <c r="HD25" s="56">
        <f>'Health - Emissions'!FR24*'Economic Activity'!$C$3</f>
        <v>89.417547119758382</v>
      </c>
      <c r="HE25" s="36"/>
      <c r="HF25" s="36"/>
      <c r="HG25" s="36"/>
      <c r="HH25" s="56">
        <f t="shared" si="55"/>
        <v>96990.93644090023</v>
      </c>
      <c r="HI25" s="57">
        <f t="shared" si="35"/>
        <v>25065.950298517844</v>
      </c>
      <c r="HJ25" s="28">
        <f>'Capital Cost'!O21</f>
        <v>0</v>
      </c>
      <c r="HK25" s="53">
        <f>'O&amp;M'!$O$10</f>
        <v>5217.3509999999997</v>
      </c>
      <c r="HL25" s="29"/>
      <c r="HM25" s="53">
        <f t="shared" si="70"/>
        <v>5217.3509999999997</v>
      </c>
      <c r="HN25" s="54">
        <f t="shared" si="15"/>
        <v>1348.2626427499406</v>
      </c>
      <c r="HO25" s="26"/>
      <c r="HP25" s="52">
        <f>('Safety and Crash Costs'!$V$26+'Safety and Crash Costs'!$V$42)/20</f>
        <v>142756.9</v>
      </c>
      <c r="HQ25" s="55">
        <f>'Health - Emissions'!GN24</f>
        <v>17.068942522458382</v>
      </c>
      <c r="HR25" s="36"/>
      <c r="HS25" s="56">
        <f>'Health - Emissions'!GO24</f>
        <v>10.046219255625548</v>
      </c>
      <c r="HT25" s="56">
        <f>'Health - Mortality'!BD22</f>
        <v>5268.9805848580536</v>
      </c>
      <c r="HU25" s="56">
        <f>'Health - Emissions'!GF24*'Economic Activity'!$C$3</f>
        <v>273.24374148538578</v>
      </c>
      <c r="HV25" s="36"/>
      <c r="HW25" s="36"/>
      <c r="HX25" s="36"/>
      <c r="HY25" s="56">
        <f t="shared" si="56"/>
        <v>148326.2394881215</v>
      </c>
      <c r="HZ25" s="57">
        <f t="shared" si="37"/>
        <v>38335.35862016998</v>
      </c>
      <c r="IA25" s="28">
        <f>'Capital Cost'!P21</f>
        <v>0</v>
      </c>
      <c r="IB25" s="53">
        <f>'O&amp;M'!$P$10</f>
        <v>10253.235000000001</v>
      </c>
      <c r="IC25" s="29"/>
      <c r="ID25" s="53">
        <f t="shared" si="71"/>
        <v>10253.235000000001</v>
      </c>
      <c r="IE25" s="54">
        <f t="shared" si="17"/>
        <v>2649.6307643162572</v>
      </c>
      <c r="IF25" s="26"/>
      <c r="IG25" s="52">
        <f>('Safety and Crash Costs'!$V$27+'Safety and Crash Costs'!$V$43)/20</f>
        <v>137635.97500000001</v>
      </c>
      <c r="IH25" s="55">
        <f>'Health - Emissions'!HB24</f>
        <v>17.949539481976061</v>
      </c>
      <c r="II25" s="36"/>
      <c r="IJ25" s="56">
        <f>'Health - Emissions'!HC24</f>
        <v>10.564509719109843</v>
      </c>
      <c r="IK25" s="56">
        <f>'Health - Mortality'!BE22</f>
        <v>5540.8104464138478</v>
      </c>
      <c r="IL25" s="56">
        <f>'Health - Emissions'!GT24*'Economic Activity'!$C$3</f>
        <v>287.34054962933919</v>
      </c>
      <c r="IM25" s="36"/>
      <c r="IN25" s="36"/>
      <c r="IO25" s="36"/>
      <c r="IP25" s="56">
        <f t="shared" si="57"/>
        <v>143492.64004524428</v>
      </c>
      <c r="IQ25" s="57">
        <f t="shared" si="39"/>
        <v>37086.524674337503</v>
      </c>
      <c r="IR25" s="28">
        <f>'Capital Cost'!Q21</f>
        <v>0</v>
      </c>
      <c r="IS25" s="53">
        <f>'O&amp;M'!$Q$10</f>
        <v>9677.1810000000005</v>
      </c>
      <c r="IT25" s="29"/>
      <c r="IU25" s="53">
        <f t="shared" si="72"/>
        <v>9677.1810000000005</v>
      </c>
      <c r="IV25" s="54">
        <f t="shared" si="19"/>
        <v>2500.7674640693167</v>
      </c>
      <c r="IW25" s="26"/>
    </row>
    <row r="26" spans="1:257" x14ac:dyDescent="0.3">
      <c r="A26">
        <v>21</v>
      </c>
      <c r="B26" s="34">
        <v>2042</v>
      </c>
      <c r="C26" s="52">
        <f>('Safety and Crash Costs'!$V$13+'Safety and Crash Costs'!$V$29)/20</f>
        <v>435297.07500000001</v>
      </c>
      <c r="D26" s="55">
        <f>'Health - Emissions'!N25</f>
        <v>65.527475152864895</v>
      </c>
      <c r="E26" s="35"/>
      <c r="F26" s="56">
        <f>'Health - Emissions'!O25</f>
        <v>38.079126904741749</v>
      </c>
      <c r="G26" s="56">
        <f>'Health - Mortality'!AQ23</f>
        <v>19971.5111968196</v>
      </c>
      <c r="H26" s="56">
        <f>'Health - Emissions'!F25*'Economic Activity'!$C$3</f>
        <v>1035.7013761293399</v>
      </c>
      <c r="I26" s="35"/>
      <c r="J26" s="36"/>
      <c r="K26" s="36"/>
      <c r="L26" s="56">
        <f t="shared" si="40"/>
        <v>456407.89417500654</v>
      </c>
      <c r="M26" s="57">
        <f t="shared" si="43"/>
        <v>110247.87783962149</v>
      </c>
      <c r="N26" s="28">
        <f>'Capital Cost'!C22</f>
        <v>0</v>
      </c>
      <c r="O26" s="53">
        <f>'O&amp;M'!$C$10</f>
        <v>12525.21</v>
      </c>
      <c r="P26" s="29"/>
      <c r="Q26" s="53">
        <f t="shared" si="58"/>
        <v>12525.21</v>
      </c>
      <c r="R26" s="54">
        <f t="shared" si="41"/>
        <v>3025.0021291909306</v>
      </c>
      <c r="S26" s="26"/>
      <c r="T26" s="52">
        <f>('Safety and Crash Costs'!$V$14+'Safety and Crash Costs'!$V$30)/20</f>
        <v>181788.7</v>
      </c>
      <c r="U26" s="55">
        <f>'Health - Emissions'!AB25</f>
        <v>11.941612291687893</v>
      </c>
      <c r="V26" s="35"/>
      <c r="W26" s="56">
        <f>'Health - Emissions'!AC25</f>
        <v>6.9394733864170011</v>
      </c>
      <c r="X26" s="56">
        <f>'Health - Mortality'!AR23</f>
        <v>3639.5732177252412</v>
      </c>
      <c r="Y26" s="56">
        <f>'Health - Emissions'!T25*'Economic Activity'!$C$3</f>
        <v>188.74440461580119</v>
      </c>
      <c r="Z26" s="35"/>
      <c r="AA26" s="36"/>
      <c r="AB26" s="36"/>
      <c r="AC26" s="56">
        <f t="shared" si="44"/>
        <v>185635.89870801914</v>
      </c>
      <c r="AD26" s="57">
        <f t="shared" si="21"/>
        <v>44837.034056481927</v>
      </c>
      <c r="AE26" s="28">
        <f>'Capital Cost'!D22</f>
        <v>0</v>
      </c>
      <c r="AF26" s="53">
        <f>'O&amp;M'!$D$10</f>
        <v>4532.2169999999996</v>
      </c>
      <c r="AG26" s="29"/>
      <c r="AH26" s="53">
        <f t="shared" si="59"/>
        <v>4532.2169999999996</v>
      </c>
      <c r="AI26" s="54">
        <f t="shared" si="42"/>
        <v>1094.5897174542649</v>
      </c>
      <c r="AJ26" s="26"/>
      <c r="AK26" s="52">
        <f>('Safety and Crash Costs'!$V$15+'Safety and Crash Costs'!$V$31)/20</f>
        <v>164338.04999999999</v>
      </c>
      <c r="AL26" s="55">
        <f>'Health - Emissions'!AP25</f>
        <v>9.0748499125940576</v>
      </c>
      <c r="AM26" s="36"/>
      <c r="AN26" s="56">
        <f>'Health - Emissions'!AQ25</f>
        <v>5.2735491586851637</v>
      </c>
      <c r="AO26" s="56">
        <f>'Health - Mortality'!AS23</f>
        <v>2765.8393096335512</v>
      </c>
      <c r="AP26" s="56">
        <f>'Health - Emissions'!AH25*'Economic Activity'!$C$3</f>
        <v>143.43349138227802</v>
      </c>
      <c r="AQ26" s="35"/>
      <c r="AR26" s="36"/>
      <c r="AS26" s="36"/>
      <c r="AT26" s="56">
        <f t="shared" si="73"/>
        <v>167261.67120008712</v>
      </c>
      <c r="AU26" s="57">
        <f t="shared" si="22"/>
        <v>40398.568989132757</v>
      </c>
      <c r="AV26" s="28">
        <f>'Capital Cost'!I22</f>
        <v>0</v>
      </c>
      <c r="AW26" s="53">
        <f>'O&amp;M'!$E$10</f>
        <v>8343.6509999999998</v>
      </c>
      <c r="AX26" s="29"/>
      <c r="AY26" s="53">
        <f t="shared" si="60"/>
        <v>8343.6509999999998</v>
      </c>
      <c r="AZ26" s="54">
        <f t="shared" si="0"/>
        <v>2015.1009077074189</v>
      </c>
      <c r="BA26" s="26"/>
      <c r="BB26" s="52">
        <f>('Safety and Crash Costs'!$V$16+'Safety and Crash Costs'!$V$32)/20</f>
        <v>24774.025000000001</v>
      </c>
      <c r="BC26" s="55">
        <f>'Health - Emissions'!BD25</f>
        <v>3.3423532743741724</v>
      </c>
      <c r="BD26" s="36"/>
      <c r="BE26" s="56">
        <f>'Health - Emissions'!BE25</f>
        <v>1.9422981611677241</v>
      </c>
      <c r="BF26" s="56">
        <f>'Health - Mortality'!AT23</f>
        <v>1018.6848445963966</v>
      </c>
      <c r="BG26" s="56">
        <f>'Health - Emissions'!AV25*'Economic Activity'!$C$3</f>
        <v>52.827914973134568</v>
      </c>
      <c r="BH26" s="36"/>
      <c r="BI26" s="36"/>
      <c r="BJ26" s="36"/>
      <c r="BK26" s="56">
        <f t="shared" si="46"/>
        <v>25850.822411005072</v>
      </c>
      <c r="BL26" s="57">
        <f t="shared" si="23"/>
        <v>6244.3013728255792</v>
      </c>
      <c r="BM26" s="28">
        <f>'Capital Cost'!H22</f>
        <v>0</v>
      </c>
      <c r="BN26" s="53">
        <f>'O&amp;M'!$F$10</f>
        <v>2683.1880000000001</v>
      </c>
      <c r="BO26" s="29"/>
      <c r="BP26" s="53">
        <f t="shared" si="61"/>
        <v>2683.1880000000001</v>
      </c>
      <c r="BQ26" s="54">
        <f t="shared" si="1"/>
        <v>648.02501618891472</v>
      </c>
      <c r="BR26" s="26"/>
      <c r="BS26" s="52">
        <f>('Safety and Crash Costs'!$V$17+'Safety and Crash Costs'!$V$33)/20</f>
        <v>127904.325</v>
      </c>
      <c r="BT26" s="55">
        <f>'Health - Emissions'!BR25</f>
        <v>2.843392349381344</v>
      </c>
      <c r="BU26" s="36"/>
      <c r="BV26" s="56">
        <f>'Health - Emissions'!BS25</f>
        <v>1.6523435072002797</v>
      </c>
      <c r="BW26" s="56">
        <f>'Health - Mortality'!AU23</f>
        <v>866.61117355958334</v>
      </c>
      <c r="BX26" s="56">
        <f>'Health - Emissions'!BJ25*'Economic Activity'!$C$3</f>
        <v>44.94153577960865</v>
      </c>
      <c r="BY26" s="36"/>
      <c r="BZ26" s="36"/>
      <c r="CA26" s="36"/>
      <c r="CB26" s="56">
        <f t="shared" si="47"/>
        <v>128820.37344519577</v>
      </c>
      <c r="CC26" s="57">
        <f t="shared" si="24"/>
        <v>31112.64777303323</v>
      </c>
      <c r="CD26" s="28">
        <f>'Capital Cost'!G22</f>
        <v>0</v>
      </c>
      <c r="CE26" s="53">
        <f>'O&amp;M'!$G$10</f>
        <v>4052.67</v>
      </c>
      <c r="CF26" s="29"/>
      <c r="CG26" s="53">
        <f t="shared" si="62"/>
        <v>4052.67</v>
      </c>
      <c r="CH26" s="54">
        <f t="shared" si="2"/>
        <v>978.77284124643108</v>
      </c>
      <c r="CI26" s="26"/>
      <c r="CJ26" s="52">
        <f>('Safety and Crash Costs'!$V$18+'Safety and Crash Costs'!$V$34)/20</f>
        <v>11114.924999999999</v>
      </c>
      <c r="CK26" s="55">
        <f>'Health - Emissions'!CF25</f>
        <v>1.4687256703090232</v>
      </c>
      <c r="CL26" s="36"/>
      <c r="CM26" s="56">
        <f>'Health - Emissions'!CG25</f>
        <v>0.85350139094294086</v>
      </c>
      <c r="CN26" s="56">
        <f>'Health - Mortality'!AV23</f>
        <v>447.6392704160308</v>
      </c>
      <c r="CO26" s="56">
        <f>'Health - Emissions'!BX25*'Economic Activity'!$C$3</f>
        <v>23.214097511721945</v>
      </c>
      <c r="CP26" s="36"/>
      <c r="CQ26" s="36"/>
      <c r="CR26" s="36"/>
      <c r="CS26" s="56">
        <f t="shared" si="48"/>
        <v>11588.100594989004</v>
      </c>
      <c r="CT26" s="57">
        <f t="shared" si="25"/>
        <v>2799.1127401221993</v>
      </c>
      <c r="CU26" s="28">
        <f>'Capital Cost'!F22</f>
        <v>0</v>
      </c>
      <c r="CV26" s="53">
        <f>'O&amp;M'!$H$10</f>
        <v>1817.1089999999999</v>
      </c>
      <c r="CW26" s="29"/>
      <c r="CX26" s="53">
        <f t="shared" si="63"/>
        <v>1817.1089999999999</v>
      </c>
      <c r="CY26" s="54">
        <f t="shared" si="4"/>
        <v>438.85560353654773</v>
      </c>
      <c r="CZ26" s="26"/>
      <c r="DA26" s="52">
        <f>('Safety and Crash Costs'!$V$19+'Safety and Crash Costs'!$V$35)/20</f>
        <v>437404.52500000002</v>
      </c>
      <c r="DB26" s="55">
        <f>'Health - Emissions'!CT25</f>
        <v>64.782496642103638</v>
      </c>
      <c r="DC26" s="36"/>
      <c r="DD26" s="56">
        <f>'Health - Emissions'!CU25</f>
        <v>37.646207260174265</v>
      </c>
      <c r="DE26" s="56">
        <f>'Health - Mortality'!AW23</f>
        <v>19744.456108334198</v>
      </c>
      <c r="DF26" s="56">
        <f>'Health - Emissions'!CL25*'Economic Activity'!$C$3</f>
        <v>1023.9265402001016</v>
      </c>
      <c r="DG26" s="36"/>
      <c r="DH26" s="36"/>
      <c r="DI26" s="36"/>
      <c r="DJ26" s="56">
        <f t="shared" si="49"/>
        <v>458275.33635243657</v>
      </c>
      <c r="DK26" s="57">
        <f t="shared" si="26"/>
        <v>110698.66902360537</v>
      </c>
      <c r="DL26" s="28">
        <f>'Capital Cost'!E22</f>
        <v>0</v>
      </c>
      <c r="DM26" s="53">
        <f>'O&amp;M'!$I$10</f>
        <v>12625.473</v>
      </c>
      <c r="DN26" s="29"/>
      <c r="DO26" s="53">
        <f t="shared" si="64"/>
        <v>12625.473</v>
      </c>
      <c r="DP26" s="54">
        <f t="shared" si="5"/>
        <v>3049.2169558069377</v>
      </c>
      <c r="DQ26" s="26"/>
      <c r="DR26" s="52">
        <f>('Safety and Crash Costs'!$V$20+'Safety and Crash Costs'!$V$36)/20</f>
        <v>338656.9</v>
      </c>
      <c r="DS26" s="55">
        <f>'Health - Emissions'!DH25</f>
        <v>23.657510036695758</v>
      </c>
      <c r="DT26" s="36"/>
      <c r="DU26" s="56">
        <f>'Health - Emissions'!DI25</f>
        <v>13.747780222509506</v>
      </c>
      <c r="DV26" s="56">
        <f>'Health - Mortality'!AX23</f>
        <v>7210.352992916808</v>
      </c>
      <c r="DW26" s="56">
        <f>'Health - Emissions'!CZ25*'Economic Activity'!$C$3</f>
        <v>373.92125430805976</v>
      </c>
      <c r="DX26" s="36"/>
      <c r="DY26" s="36"/>
      <c r="DZ26" s="36"/>
      <c r="EA26" s="56">
        <f t="shared" si="50"/>
        <v>346278.57953748415</v>
      </c>
      <c r="EB26" s="57">
        <f t="shared" si="27"/>
        <v>83637.812095826332</v>
      </c>
      <c r="EC26" s="28">
        <f>'Capital Cost'!K22</f>
        <v>0</v>
      </c>
      <c r="ED26" s="53">
        <f>'O&amp;M'!$J$10</f>
        <v>6594.4049999999997</v>
      </c>
      <c r="EE26" s="29"/>
      <c r="EF26" s="53">
        <f t="shared" si="65"/>
        <v>6594.4049999999997</v>
      </c>
      <c r="EG26" s="54">
        <f t="shared" si="7"/>
        <v>1592.635106776439</v>
      </c>
      <c r="EH26" s="26"/>
      <c r="EI26" s="52">
        <f>('Safety and Crash Costs'!$V$21+'Safety and Crash Costs'!$V$37)/20</f>
        <v>143994.92499999999</v>
      </c>
      <c r="EJ26" s="55">
        <f>'Health - Emissions'!DV25</f>
        <v>9.2384227572244839</v>
      </c>
      <c r="EK26" s="36"/>
      <c r="EL26" s="56">
        <f>'Health - Emissions'!DW25</f>
        <v>5.3686041122648813</v>
      </c>
      <c r="EM26" s="56">
        <f>'Health - Mortality'!AY23</f>
        <v>2815.6931593418039</v>
      </c>
      <c r="EN26" s="56">
        <f>'Health - Emissions'!DN25*'Economic Activity'!$C$3</f>
        <v>146.01885912132047</v>
      </c>
      <c r="EO26" s="36"/>
      <c r="EP26" s="36"/>
      <c r="EQ26" s="36"/>
      <c r="ER26" s="56">
        <f t="shared" si="51"/>
        <v>146971.2440453326</v>
      </c>
      <c r="ES26" s="57">
        <f t="shared" si="28"/>
        <v>35498.213719157233</v>
      </c>
      <c r="ET26" s="28">
        <f>'Capital Cost'!J22</f>
        <v>0</v>
      </c>
      <c r="EU26" s="53">
        <f>'O&amp;M'!$K$10</f>
        <v>6250.6319999999996</v>
      </c>
      <c r="EV26" s="29"/>
      <c r="EW26" s="53">
        <f t="shared" si="66"/>
        <v>6250.6319999999996</v>
      </c>
      <c r="EX26" s="54">
        <f t="shared" si="8"/>
        <v>1509.6094284079043</v>
      </c>
      <c r="EY26" s="26"/>
      <c r="EZ26" s="52">
        <f>('Safety and Crash Costs'!$V$22+'Safety and Crash Costs'!$V$38)/20</f>
        <v>212730</v>
      </c>
      <c r="FA26" s="55">
        <f>'Health - Emissions'!EJ25</f>
        <v>15.267625763999654</v>
      </c>
      <c r="FB26" s="36"/>
      <c r="FC26" s="56">
        <f>'Health - Emissions'!EK25</f>
        <v>8.8722762115461915</v>
      </c>
      <c r="FD26" s="56">
        <f>'Health - Mortality'!AZ23</f>
        <v>4653.2780056495012</v>
      </c>
      <c r="FE26" s="56">
        <f>'Health - Emissions'!EB25*'Economic Activity'!$C$3</f>
        <v>241.31405913494692</v>
      </c>
      <c r="FF26" s="36"/>
      <c r="FG26" s="36"/>
      <c r="FH26" s="36"/>
      <c r="FI26" s="56">
        <f t="shared" si="52"/>
        <v>217648.73196676001</v>
      </c>
      <c r="FJ26" s="57">
        <f t="shared" si="30"/>
        <v>52569.536852508711</v>
      </c>
      <c r="FK26" s="28">
        <f>'Capital Cost'!L22</f>
        <v>0</v>
      </c>
      <c r="FL26" s="53">
        <f>'O&amp;M'!$L$10</f>
        <v>7062.8190000000004</v>
      </c>
      <c r="FM26" s="29"/>
      <c r="FN26" s="53">
        <f t="shared" si="67"/>
        <v>7062.8190000000004</v>
      </c>
      <c r="FO26" s="54">
        <f t="shared" si="10"/>
        <v>1705.763217789575</v>
      </c>
      <c r="FP26" s="26"/>
      <c r="FQ26" s="52">
        <f>('Safety and Crash Costs'!$V$23+'Safety and Crash Costs'!$V$39)/20</f>
        <v>36292.275000000001</v>
      </c>
      <c r="FR26" s="55">
        <f>'Health - Emissions'!EX25</f>
        <v>2.2073106090047392</v>
      </c>
      <c r="FS26" s="36"/>
      <c r="FT26" s="56">
        <f>'Health - Emissions'!EY25</f>
        <v>1.2827056223728077</v>
      </c>
      <c r="FU26" s="56">
        <f>'Health - Mortality'!BA23</f>
        <v>672.745721390266</v>
      </c>
      <c r="FV26" s="56">
        <f>'Health - Emissions'!EP25*'Economic Activity'!$C$3</f>
        <v>34.887879167600573</v>
      </c>
      <c r="FW26" s="36"/>
      <c r="FX26" s="36"/>
      <c r="FY26" s="36"/>
      <c r="FZ26" s="56">
        <f t="shared" si="53"/>
        <v>37003.398616789251</v>
      </c>
      <c r="GA26" s="57">
        <f t="shared" si="31"/>
        <v>8937.458463703957</v>
      </c>
      <c r="GB26" s="28">
        <f>'Capital Cost'!M22</f>
        <v>0</v>
      </c>
      <c r="GC26" s="53">
        <f>'O&amp;M'!$M$10</f>
        <v>2523.1620000000003</v>
      </c>
      <c r="GD26" s="29"/>
      <c r="GE26" s="53">
        <f t="shared" si="68"/>
        <v>2523.1620000000003</v>
      </c>
      <c r="GF26" s="54">
        <f t="shared" si="11"/>
        <v>609.37664296995013</v>
      </c>
      <c r="GG26" s="26"/>
      <c r="GH26" s="52">
        <f>('Safety and Crash Costs'!$V$24+'Safety and Crash Costs'!$V$40)/20</f>
        <v>43497.4</v>
      </c>
      <c r="GI26" s="55">
        <f>'Health - Emissions'!FL25</f>
        <v>10.473748832494014</v>
      </c>
      <c r="GJ26" s="36"/>
      <c r="GK26" s="56">
        <f>'Health - Emissions'!FM25</f>
        <v>6.0864730409728471</v>
      </c>
      <c r="GL26" s="56">
        <f>'Health - Mortality'!BB23</f>
        <v>3192.196732635517</v>
      </c>
      <c r="GM26" s="56">
        <f>'Health - Emissions'!FD25*'Economic Activity'!$C$3</f>
        <v>165.54393487222359</v>
      </c>
      <c r="GN26" s="36"/>
      <c r="GO26" s="36"/>
      <c r="GP26" s="36"/>
      <c r="GQ26" s="56">
        <f t="shared" si="54"/>
        <v>46871.700889381209</v>
      </c>
      <c r="GR26" s="57">
        <f t="shared" si="33"/>
        <v>11323.229771329743</v>
      </c>
      <c r="GS26" s="28">
        <f>'Capital Cost'!N22</f>
        <v>0</v>
      </c>
      <c r="GT26" s="53">
        <f>'O&amp;M'!$N$10</f>
        <v>4541.6970000000001</v>
      </c>
      <c r="GU26" s="29"/>
      <c r="GV26" s="53">
        <f t="shared" si="69"/>
        <v>4541.6970000000001</v>
      </c>
      <c r="GW26" s="54">
        <f t="shared" si="13"/>
        <v>1096.8792615165785</v>
      </c>
      <c r="GX26" s="26"/>
      <c r="GY26" s="52">
        <f>('Safety and Crash Costs'!$V$25+'Safety and Crash Costs'!$V$41)/20</f>
        <v>95168.4</v>
      </c>
      <c r="GZ26" s="55">
        <f>'Health - Emissions'!FZ25</f>
        <v>6.2403820212295766</v>
      </c>
      <c r="HA26" s="36"/>
      <c r="HB26" s="56">
        <f>'Health - Emissions'!GA25</f>
        <v>3.6263918053628941</v>
      </c>
      <c r="HC26" s="56">
        <f>'Health - Mortality'!BC23</f>
        <v>1901.948138833018</v>
      </c>
      <c r="HD26" s="56">
        <f>'Health - Emissions'!FR25*'Economic Activity'!$C$3</f>
        <v>98.63301205918188</v>
      </c>
      <c r="HE26" s="36"/>
      <c r="HF26" s="36"/>
      <c r="HG26" s="36"/>
      <c r="HH26" s="56">
        <f t="shared" si="55"/>
        <v>97178.847924718793</v>
      </c>
      <c r="HI26" s="57">
        <f t="shared" si="35"/>
        <v>23471.810907236271</v>
      </c>
      <c r="HJ26" s="28">
        <f>'Capital Cost'!O22</f>
        <v>0</v>
      </c>
      <c r="HK26" s="53">
        <f>'O&amp;M'!$O$10</f>
        <v>5217.3509999999997</v>
      </c>
      <c r="HL26" s="29"/>
      <c r="HM26" s="53">
        <f t="shared" si="70"/>
        <v>5217.3509999999997</v>
      </c>
      <c r="HN26" s="54">
        <f t="shared" si="15"/>
        <v>1260.0585446261127</v>
      </c>
      <c r="HO26" s="26"/>
      <c r="HP26" s="52">
        <f>('Safety and Crash Costs'!$V$26+'Safety and Crash Costs'!$V$42)/20</f>
        <v>142756.9</v>
      </c>
      <c r="HQ26" s="55">
        <f>'Health - Emissions'!GN25</f>
        <v>19.069471112813858</v>
      </c>
      <c r="HR26" s="36"/>
      <c r="HS26" s="56">
        <f>'Health - Emissions'!GO25</f>
        <v>11.081593008385553</v>
      </c>
      <c r="HT26" s="56">
        <f>'Health - Mortality'!BD23</f>
        <v>5812.0071765093644</v>
      </c>
      <c r="HU26" s="56">
        <f>'Health - Emissions'!GF25*'Economic Activity'!$C$3</f>
        <v>301.40452424766613</v>
      </c>
      <c r="HV26" s="36"/>
      <c r="HW26" s="36"/>
      <c r="HX26" s="36"/>
      <c r="HY26" s="56">
        <f t="shared" si="56"/>
        <v>148900.4627648782</v>
      </c>
      <c r="HZ26" s="57">
        <f t="shared" si="37"/>
        <v>35967.055633205717</v>
      </c>
      <c r="IA26" s="28">
        <f>'Capital Cost'!P22</f>
        <v>0</v>
      </c>
      <c r="IB26" s="53">
        <f>'O&amp;M'!$P$10</f>
        <v>10253.235000000001</v>
      </c>
      <c r="IC26" s="29"/>
      <c r="ID26" s="53">
        <f t="shared" si="71"/>
        <v>10253.235000000001</v>
      </c>
      <c r="IE26" s="54">
        <f t="shared" si="17"/>
        <v>2476.2904339404272</v>
      </c>
      <c r="IF26" s="26"/>
      <c r="IG26" s="52">
        <f>('Safety and Crash Costs'!$V$27+'Safety and Crash Costs'!$V$43)/20</f>
        <v>137635.97500000001</v>
      </c>
      <c r="IH26" s="55">
        <f>'Health - Emissions'!HB25</f>
        <v>20.053276539509696</v>
      </c>
      <c r="II26" s="36"/>
      <c r="IJ26" s="56">
        <f>'Health - Emissions'!HC25</f>
        <v>11.653299023386602</v>
      </c>
      <c r="IK26" s="56">
        <f>'Health - Mortality'!BE23</f>
        <v>6111.8521048987477</v>
      </c>
      <c r="IL26" s="56">
        <f>'Health - Emissions'!GT25*'Economic Activity'!$C$3</f>
        <v>316.95416402694042</v>
      </c>
      <c r="IM26" s="36"/>
      <c r="IN26" s="36"/>
      <c r="IO26" s="36"/>
      <c r="IP26" s="56">
        <f t="shared" si="57"/>
        <v>144096.48784448861</v>
      </c>
      <c r="IQ26" s="57">
        <f t="shared" si="39"/>
        <v>34807.124063560987</v>
      </c>
      <c r="IR26" s="28">
        <f>'Capital Cost'!Q22</f>
        <v>0</v>
      </c>
      <c r="IS26" s="53">
        <f>'O&amp;M'!$Q$10</f>
        <v>9677.1810000000005</v>
      </c>
      <c r="IT26" s="29"/>
      <c r="IU26" s="53">
        <f t="shared" si="72"/>
        <v>9677.1810000000005</v>
      </c>
      <c r="IV26" s="54">
        <f t="shared" si="19"/>
        <v>2337.1658542703894</v>
      </c>
      <c r="IW26" s="26"/>
    </row>
    <row r="27" spans="1:257" x14ac:dyDescent="0.3">
      <c r="A27">
        <v>22</v>
      </c>
      <c r="B27" s="34">
        <v>2043</v>
      </c>
      <c r="C27" s="52">
        <f>('Safety and Crash Costs'!$V$13+'Safety and Crash Costs'!$V$29)/20</f>
        <v>435297.07500000001</v>
      </c>
      <c r="D27" s="55">
        <f>'Health - Emissions'!N26</f>
        <v>72.828230538099376</v>
      </c>
      <c r="E27" s="35"/>
      <c r="F27" s="56">
        <f>'Health - Emissions'!O26</f>
        <v>41.792698156125908</v>
      </c>
      <c r="G27" s="56">
        <f>'Health - Mortality'!AQ24</f>
        <v>21919.182686576645</v>
      </c>
      <c r="H27" s="56">
        <f>'Health - Emissions'!F26*'Economic Activity'!$C$3</f>
        <v>1136.7055526440593</v>
      </c>
      <c r="I27" s="35"/>
      <c r="J27" s="36"/>
      <c r="K27" s="36"/>
      <c r="L27" s="56">
        <f t="shared" si="40"/>
        <v>458467.58416791493</v>
      </c>
      <c r="M27" s="57">
        <f t="shared" si="43"/>
        <v>103503.7397716237</v>
      </c>
      <c r="N27" s="28">
        <f>'Capital Cost'!C23</f>
        <v>0</v>
      </c>
      <c r="O27" s="53">
        <f>'O&amp;M'!$C$10</f>
        <v>12525.21</v>
      </c>
      <c r="P27" s="29"/>
      <c r="Q27" s="53">
        <f t="shared" si="58"/>
        <v>12525.21</v>
      </c>
      <c r="R27" s="54">
        <f t="shared" si="41"/>
        <v>2827.1047936363839</v>
      </c>
      <c r="S27" s="26"/>
      <c r="T27" s="52">
        <f>('Safety and Crash Costs'!$V$14+'Safety and Crash Costs'!$V$30)/20</f>
        <v>181788.7</v>
      </c>
      <c r="U27" s="55">
        <f>'Health - Emissions'!AB26</f>
        <v>13.272089164839795</v>
      </c>
      <c r="V27" s="35"/>
      <c r="W27" s="56">
        <f>'Health - Emissions'!AC26</f>
        <v>7.6162281064506336</v>
      </c>
      <c r="X27" s="56">
        <f>'Health - Mortality'!AR24</f>
        <v>3994.5134584104649</v>
      </c>
      <c r="Y27" s="56">
        <f>'Health - Emissions'!T26*'Economic Activity'!$C$3</f>
        <v>207.15122882146804</v>
      </c>
      <c r="Z27" s="35"/>
      <c r="AA27" s="36"/>
      <c r="AB27" s="36"/>
      <c r="AC27" s="56">
        <f t="shared" si="44"/>
        <v>186011.25300450323</v>
      </c>
      <c r="AD27" s="57">
        <f t="shared" si="21"/>
        <v>41989.119593180556</v>
      </c>
      <c r="AE27" s="28">
        <f>'Capital Cost'!D23</f>
        <v>0</v>
      </c>
      <c r="AF27" s="53">
        <f>'O&amp;M'!$D$10</f>
        <v>4532.2169999999996</v>
      </c>
      <c r="AG27" s="29"/>
      <c r="AH27" s="53">
        <f t="shared" si="59"/>
        <v>4532.2169999999996</v>
      </c>
      <c r="AI27" s="54">
        <f t="shared" si="42"/>
        <v>1022.9810443497803</v>
      </c>
      <c r="AJ27" s="26"/>
      <c r="AK27" s="52">
        <f>('Safety and Crash Costs'!$V$15+'Safety and Crash Costs'!$V$31)/20</f>
        <v>164338.04999999999</v>
      </c>
      <c r="AL27" s="55">
        <f>'Health - Emissions'!AP26</f>
        <v>10.085925941618639</v>
      </c>
      <c r="AM27" s="36"/>
      <c r="AN27" s="56">
        <f>'Health - Emissions'!AQ26</f>
        <v>5.7878388008149511</v>
      </c>
      <c r="AO27" s="56">
        <f>'Health - Mortality'!AS24</f>
        <v>3035.5708444950919</v>
      </c>
      <c r="AP27" s="56">
        <f>'Health - Emissions'!AH26*'Economic Activity'!$C$3</f>
        <v>157.42148253069266</v>
      </c>
      <c r="AQ27" s="35"/>
      <c r="AR27" s="36"/>
      <c r="AS27" s="36"/>
      <c r="AT27" s="56">
        <f t="shared" si="73"/>
        <v>167546.91609176819</v>
      </c>
      <c r="AU27" s="57">
        <f t="shared" si="22"/>
        <v>37820.531989961826</v>
      </c>
      <c r="AV27" s="28">
        <f>'Capital Cost'!I23</f>
        <v>0</v>
      </c>
      <c r="AW27" s="53">
        <f>'O&amp;M'!$E$10</f>
        <v>8343.6509999999998</v>
      </c>
      <c r="AX27" s="29"/>
      <c r="AY27" s="53">
        <f t="shared" si="60"/>
        <v>8343.6509999999998</v>
      </c>
      <c r="AZ27" s="54">
        <f t="shared" si="0"/>
        <v>1883.2718763620737</v>
      </c>
      <c r="BA27" s="26"/>
      <c r="BB27" s="52">
        <f>('Safety and Crash Costs'!$V$16+'Safety and Crash Costs'!$V$32)/20</f>
        <v>24774.025000000001</v>
      </c>
      <c r="BC27" s="55">
        <f>'Health - Emissions'!BD26</f>
        <v>3.7147421633145452</v>
      </c>
      <c r="BD27" s="36"/>
      <c r="BE27" s="56">
        <f>'Health - Emissions'!BE26</f>
        <v>2.1317159130760692</v>
      </c>
      <c r="BF27" s="56">
        <f>'Health - Mortality'!AT24</f>
        <v>1118.0295265944194</v>
      </c>
      <c r="BG27" s="56">
        <f>'Health - Emissions'!AV26*'Economic Activity'!$C$3</f>
        <v>57.979824753145053</v>
      </c>
      <c r="BH27" s="36"/>
      <c r="BI27" s="36"/>
      <c r="BJ27" s="36"/>
      <c r="BK27" s="56">
        <f t="shared" si="46"/>
        <v>25955.880809423958</v>
      </c>
      <c r="BL27" s="57">
        <f t="shared" si="23"/>
        <v>5859.6842423799699</v>
      </c>
      <c r="BM27" s="28">
        <f>'Capital Cost'!H23</f>
        <v>0</v>
      </c>
      <c r="BN27" s="53">
        <f>'O&amp;M'!$F$10</f>
        <v>2683.1880000000001</v>
      </c>
      <c r="BO27" s="29"/>
      <c r="BP27" s="53">
        <f t="shared" si="61"/>
        <v>2683.1880000000001</v>
      </c>
      <c r="BQ27" s="54">
        <f t="shared" si="1"/>
        <v>605.63085625132214</v>
      </c>
      <c r="BR27" s="26"/>
      <c r="BS27" s="52">
        <f>('Safety and Crash Costs'!$V$17+'Safety and Crash Costs'!$V$33)/20</f>
        <v>127904.325</v>
      </c>
      <c r="BT27" s="55">
        <f>'Health - Emissions'!BR26</f>
        <v>3.1601894174608507</v>
      </c>
      <c r="BU27" s="36"/>
      <c r="BV27" s="56">
        <f>'Health - Emissions'!BS26</f>
        <v>1.8134841594295239</v>
      </c>
      <c r="BW27" s="56">
        <f>'Health - Mortality'!AU24</f>
        <v>951.1252525800877</v>
      </c>
      <c r="BX27" s="56">
        <f>'Health - Emissions'!BJ26*'Economic Activity'!$C$3</f>
        <v>49.324346228012743</v>
      </c>
      <c r="BY27" s="36"/>
      <c r="BZ27" s="36"/>
      <c r="CA27" s="36"/>
      <c r="CB27" s="56">
        <f t="shared" si="47"/>
        <v>128909.74827238498</v>
      </c>
      <c r="CC27" s="57">
        <f t="shared" si="24"/>
        <v>29097.563287839093</v>
      </c>
      <c r="CD27" s="28">
        <f>'Capital Cost'!G23</f>
        <v>0</v>
      </c>
      <c r="CE27" s="53">
        <f>'O&amp;M'!$G$10</f>
        <v>4052.67</v>
      </c>
      <c r="CF27" s="29"/>
      <c r="CG27" s="53">
        <f t="shared" si="62"/>
        <v>4052.67</v>
      </c>
      <c r="CH27" s="54">
        <f t="shared" si="2"/>
        <v>914.74097312750564</v>
      </c>
      <c r="CI27" s="26"/>
      <c r="CJ27" s="52">
        <f>('Safety and Crash Costs'!$V$18+'Safety and Crash Costs'!$V$34)/20</f>
        <v>11114.924999999999</v>
      </c>
      <c r="CK27" s="55">
        <f>'Health - Emissions'!CF26</f>
        <v>1.6323640040297438</v>
      </c>
      <c r="CL27" s="36"/>
      <c r="CM27" s="56">
        <f>'Health - Emissions'!CG26</f>
        <v>0.93673697132667644</v>
      </c>
      <c r="CN27" s="56">
        <f>'Health - Mortality'!AV24</f>
        <v>491.29416643730889</v>
      </c>
      <c r="CO27" s="56">
        <f>'Health - Emissions'!BX26*'Economic Activity'!$C$3</f>
        <v>25.477994091126568</v>
      </c>
      <c r="CP27" s="36"/>
      <c r="CQ27" s="36"/>
      <c r="CR27" s="36"/>
      <c r="CS27" s="56">
        <f t="shared" si="48"/>
        <v>11634.266261503792</v>
      </c>
      <c r="CT27" s="57">
        <f t="shared" si="25"/>
        <v>2626.4905349099972</v>
      </c>
      <c r="CU27" s="28">
        <f>'Capital Cost'!F23</f>
        <v>0</v>
      </c>
      <c r="CV27" s="53">
        <f>'O&amp;M'!$H$10</f>
        <v>1817.1089999999999</v>
      </c>
      <c r="CW27" s="29"/>
      <c r="CX27" s="53">
        <f t="shared" si="63"/>
        <v>1817.1089999999999</v>
      </c>
      <c r="CY27" s="54">
        <f t="shared" si="4"/>
        <v>410.14542386593246</v>
      </c>
      <c r="CZ27" s="26"/>
      <c r="DA27" s="52">
        <f>('Safety and Crash Costs'!$V$19+'Safety and Crash Costs'!$V$35)/20</f>
        <v>437404.52500000002</v>
      </c>
      <c r="DB27" s="55">
        <f>'Health - Emissions'!CT26</f>
        <v>72.000250113077925</v>
      </c>
      <c r="DC27" s="36"/>
      <c r="DD27" s="56">
        <f>'Health - Emissions'!CU26</f>
        <v>41.317559110093484</v>
      </c>
      <c r="DE27" s="56">
        <f>'Health - Mortality'!AW24</f>
        <v>21669.984620622537</v>
      </c>
      <c r="DF27" s="56">
        <f>'Health - Emissions'!CL26*'Economic Activity'!$C$3</f>
        <v>1123.7824054022749</v>
      </c>
      <c r="DG27" s="36"/>
      <c r="DH27" s="36"/>
      <c r="DI27" s="36"/>
      <c r="DJ27" s="56">
        <f t="shared" si="49"/>
        <v>460311.60983524803</v>
      </c>
      <c r="DK27" s="57">
        <f t="shared" si="26"/>
        <v>103919.71541097722</v>
      </c>
      <c r="DL27" s="28">
        <f>'Capital Cost'!E23</f>
        <v>0</v>
      </c>
      <c r="DM27" s="53">
        <f>'O&amp;M'!$I$10</f>
        <v>12625.473</v>
      </c>
      <c r="DN27" s="29"/>
      <c r="DO27" s="53">
        <f t="shared" si="64"/>
        <v>12625.473</v>
      </c>
      <c r="DP27" s="54">
        <f t="shared" si="5"/>
        <v>2849.735472716764</v>
      </c>
      <c r="DQ27" s="26"/>
      <c r="DR27" s="52">
        <f>('Safety and Crash Costs'!$V$20+'Safety and Crash Costs'!$V$36)/20</f>
        <v>338656.9</v>
      </c>
      <c r="DS27" s="55">
        <f>'Health - Emissions'!DH26</f>
        <v>26.293315756338128</v>
      </c>
      <c r="DT27" s="36"/>
      <c r="DU27" s="56">
        <f>'Health - Emissions'!DI26</f>
        <v>15.0884979740581</v>
      </c>
      <c r="DV27" s="56">
        <f>'Health - Mortality'!AX24</f>
        <v>7913.5245665143457</v>
      </c>
      <c r="DW27" s="56">
        <f>'Health - Emissions'!CZ26*'Economic Activity'!$C$3</f>
        <v>410.38698588204193</v>
      </c>
      <c r="DX27" s="36"/>
      <c r="DY27" s="36"/>
      <c r="DZ27" s="36"/>
      <c r="EA27" s="56">
        <f t="shared" si="50"/>
        <v>347022.1933661268</v>
      </c>
      <c r="EB27" s="57">
        <f t="shared" si="27"/>
        <v>78335.265188952413</v>
      </c>
      <c r="EC27" s="28">
        <f>'Capital Cost'!K23</f>
        <v>0</v>
      </c>
      <c r="ED27" s="53">
        <f>'O&amp;M'!$J$10</f>
        <v>6594.4049999999997</v>
      </c>
      <c r="EE27" s="29"/>
      <c r="EF27" s="53">
        <f t="shared" si="65"/>
        <v>6594.4049999999997</v>
      </c>
      <c r="EG27" s="54">
        <f t="shared" si="7"/>
        <v>1488.4440250247094</v>
      </c>
      <c r="EH27" s="26"/>
      <c r="EI27" s="52">
        <f>('Safety and Crash Costs'!$V$21+'Safety and Crash Costs'!$V$37)/20</f>
        <v>143994.92499999999</v>
      </c>
      <c r="EJ27" s="55">
        <f>'Health - Emissions'!DV26</f>
        <v>10.267723284042212</v>
      </c>
      <c r="EK27" s="36"/>
      <c r="EL27" s="56">
        <f>'Health - Emissions'!DW26</f>
        <v>5.8921637501011972</v>
      </c>
      <c r="EM27" s="56">
        <f>'Health - Mortality'!AY24</f>
        <v>3090.2865657349726</v>
      </c>
      <c r="EN27" s="56">
        <f>'Health - Emissions'!DN26*'Economic Activity'!$C$3</f>
        <v>160.25898176775985</v>
      </c>
      <c r="EO27" s="36"/>
      <c r="EP27" s="36"/>
      <c r="EQ27" s="36"/>
      <c r="ER27" s="56">
        <f t="shared" si="51"/>
        <v>147261.63043453687</v>
      </c>
      <c r="ES27" s="57">
        <f t="shared" si="28"/>
        <v>33241.92980231643</v>
      </c>
      <c r="ET27" s="28">
        <f>'Capital Cost'!J23</f>
        <v>0</v>
      </c>
      <c r="EU27" s="53">
        <f>'O&amp;M'!$K$10</f>
        <v>6250.6319999999996</v>
      </c>
      <c r="EV27" s="29"/>
      <c r="EW27" s="53">
        <f t="shared" si="66"/>
        <v>6250.6319999999996</v>
      </c>
      <c r="EX27" s="54">
        <f t="shared" si="8"/>
        <v>1410.8499330914992</v>
      </c>
      <c r="EY27" s="26"/>
      <c r="EZ27" s="52">
        <f>('Safety and Crash Costs'!$V$22+'Safety and Crash Costs'!$V$38)/20</f>
        <v>212730</v>
      </c>
      <c r="FA27" s="55">
        <f>'Health - Emissions'!EJ26</f>
        <v>16.968671024117409</v>
      </c>
      <c r="FB27" s="36"/>
      <c r="FC27" s="56">
        <f>'Health - Emissions'!EK26</f>
        <v>9.7375226746796404</v>
      </c>
      <c r="FD27" s="56">
        <f>'Health - Mortality'!AZ24</f>
        <v>5107.0772608085363</v>
      </c>
      <c r="FE27" s="56">
        <f>'Health - Emissions'!EB26*'Economic Activity'!$C$3</f>
        <v>264.84760691822777</v>
      </c>
      <c r="FF27" s="36"/>
      <c r="FG27" s="36"/>
      <c r="FH27" s="36"/>
      <c r="FI27" s="56">
        <f t="shared" si="52"/>
        <v>218128.63106142552</v>
      </c>
      <c r="FJ27" s="57">
        <f t="shared" si="30"/>
        <v>49239.529502830606</v>
      </c>
      <c r="FK27" s="28">
        <f>'Capital Cost'!L23</f>
        <v>0</v>
      </c>
      <c r="FL27" s="53">
        <f>'O&amp;M'!$L$10</f>
        <v>7062.8190000000004</v>
      </c>
      <c r="FM27" s="29"/>
      <c r="FN27" s="53">
        <f t="shared" si="67"/>
        <v>7062.8190000000004</v>
      </c>
      <c r="FO27" s="54">
        <f t="shared" si="10"/>
        <v>1594.1712315790421</v>
      </c>
      <c r="FP27" s="26"/>
      <c r="FQ27" s="52">
        <f>('Safety and Crash Costs'!$V$23+'Safety and Crash Costs'!$V$39)/20</f>
        <v>36292.275000000001</v>
      </c>
      <c r="FR27" s="55">
        <f>'Health - Emissions'!EX26</f>
        <v>2.4532385160083701</v>
      </c>
      <c r="FS27" s="36"/>
      <c r="FT27" s="56">
        <f>'Health - Emissions'!EY26</f>
        <v>1.4077982678829997</v>
      </c>
      <c r="FU27" s="56">
        <f>'Health - Mortality'!BA24</f>
        <v>738.3535588991532</v>
      </c>
      <c r="FV27" s="56">
        <f>'Health - Emissions'!EP26*'Economic Activity'!$C$3</f>
        <v>38.290231995244653</v>
      </c>
      <c r="FW27" s="36"/>
      <c r="FX27" s="36"/>
      <c r="FY27" s="36"/>
      <c r="FZ27" s="56">
        <f t="shared" si="53"/>
        <v>37072.779827678292</v>
      </c>
      <c r="GA27" s="57">
        <f t="shared" si="31"/>
        <v>8368.5410754574186</v>
      </c>
      <c r="GB27" s="28">
        <f>'Capital Cost'!M23</f>
        <v>0</v>
      </c>
      <c r="GC27" s="53">
        <f>'O&amp;M'!$M$10</f>
        <v>2523.1620000000003</v>
      </c>
      <c r="GD27" s="29"/>
      <c r="GE27" s="53">
        <f t="shared" si="68"/>
        <v>2523.1620000000003</v>
      </c>
      <c r="GF27" s="54">
        <f t="shared" si="11"/>
        <v>569.51088128032723</v>
      </c>
      <c r="GG27" s="26"/>
      <c r="GH27" s="52">
        <f>('Safety and Crash Costs'!$V$24+'Safety and Crash Costs'!$V$40)/20</f>
        <v>43497.4</v>
      </c>
      <c r="GI27" s="55">
        <f>'Health - Emissions'!FL26</f>
        <v>11.640683435331074</v>
      </c>
      <c r="GJ27" s="36"/>
      <c r="GK27" s="56">
        <f>'Health - Emissions'!FM26</f>
        <v>6.6800410438271056</v>
      </c>
      <c r="GL27" s="56">
        <f>'Health - Mortality'!BB24</f>
        <v>3503.5077047786713</v>
      </c>
      <c r="GM27" s="56">
        <f>'Health - Emissions'!FD26*'Economic Activity'!$C$3</f>
        <v>181.6881915123607</v>
      </c>
      <c r="GN27" s="36"/>
      <c r="GO27" s="36"/>
      <c r="GP27" s="36"/>
      <c r="GQ27" s="56">
        <f t="shared" si="54"/>
        <v>47200.916620770193</v>
      </c>
      <c r="GR27" s="57">
        <f t="shared" si="33"/>
        <v>10657.316019728909</v>
      </c>
      <c r="GS27" s="28">
        <f>'Capital Cost'!N23</f>
        <v>0</v>
      </c>
      <c r="GT27" s="53">
        <f>'O&amp;M'!$N$10</f>
        <v>4541.6970000000001</v>
      </c>
      <c r="GU27" s="29"/>
      <c r="GV27" s="53">
        <f t="shared" si="69"/>
        <v>4541.6970000000001</v>
      </c>
      <c r="GW27" s="54">
        <f t="shared" si="13"/>
        <v>1025.120805155681</v>
      </c>
      <c r="GX27" s="26"/>
      <c r="GY27" s="52">
        <f>('Safety and Crash Costs'!$V$25+'Safety and Crash Costs'!$V$41)/20</f>
        <v>95168.4</v>
      </c>
      <c r="GZ27" s="55">
        <f>'Health - Emissions'!FZ26</f>
        <v>6.9356553022636689</v>
      </c>
      <c r="HA27" s="36"/>
      <c r="HB27" s="56">
        <f>'Health - Emissions'!GA26</f>
        <v>3.9800465619002301</v>
      </c>
      <c r="HC27" s="56">
        <f>'Health - Mortality'!BC24</f>
        <v>2087.4308561143957</v>
      </c>
      <c r="HD27" s="56">
        <f>'Health - Emissions'!FR26*'Economic Activity'!$C$3</f>
        <v>108.25194893598291</v>
      </c>
      <c r="HE27" s="36"/>
      <c r="HF27" s="36"/>
      <c r="HG27" s="36"/>
      <c r="HH27" s="56">
        <f t="shared" si="55"/>
        <v>97374.998506914548</v>
      </c>
      <c r="HI27" s="57">
        <f t="shared" si="35"/>
        <v>21980.873320112878</v>
      </c>
      <c r="HJ27" s="28">
        <f>'Capital Cost'!O23</f>
        <v>0</v>
      </c>
      <c r="HK27" s="53">
        <f>'O&amp;M'!$O$10</f>
        <v>5217.3509999999997</v>
      </c>
      <c r="HL27" s="29"/>
      <c r="HM27" s="53">
        <f t="shared" si="70"/>
        <v>5217.3509999999997</v>
      </c>
      <c r="HN27" s="54">
        <f t="shared" si="15"/>
        <v>1177.6248080617875</v>
      </c>
      <c r="HO27" s="26"/>
      <c r="HP27" s="52">
        <f>('Safety and Crash Costs'!$V$26+'Safety and Crash Costs'!$V$42)/20</f>
        <v>142756.9</v>
      </c>
      <c r="HQ27" s="55">
        <f>'Health - Emissions'!GN26</f>
        <v>21.19409965367656</v>
      </c>
      <c r="HR27" s="36"/>
      <c r="HS27" s="56">
        <f>'Health - Emissions'!GO26</f>
        <v>12.162297545504439</v>
      </c>
      <c r="HT27" s="56">
        <f>'Health - Mortality'!BD24</f>
        <v>6378.8085849953322</v>
      </c>
      <c r="HU27" s="56">
        <f>'Health - Emissions'!GF26*'Economic Activity'!$C$3</f>
        <v>330.79824378023955</v>
      </c>
      <c r="HV27" s="36"/>
      <c r="HW27" s="36"/>
      <c r="HX27" s="36"/>
      <c r="HY27" s="56">
        <f t="shared" si="56"/>
        <v>149499.86322597475</v>
      </c>
      <c r="HZ27" s="57">
        <f t="shared" si="37"/>
        <v>33750.364576974956</v>
      </c>
      <c r="IA27" s="28">
        <f>'Capital Cost'!P23</f>
        <v>0</v>
      </c>
      <c r="IB27" s="53">
        <f>'O&amp;M'!$P$10</f>
        <v>10253.235000000001</v>
      </c>
      <c r="IC27" s="29"/>
      <c r="ID27" s="53">
        <f t="shared" si="71"/>
        <v>10253.235000000001</v>
      </c>
      <c r="IE27" s="54">
        <f t="shared" si="17"/>
        <v>2314.2901251779695</v>
      </c>
      <c r="IF27" s="26"/>
      <c r="IG27" s="52">
        <f>('Safety and Crash Costs'!$V$27+'Safety and Crash Costs'!$V$43)/20</f>
        <v>137635.97500000001</v>
      </c>
      <c r="IH27" s="55">
        <f>'Health - Emissions'!HB26</f>
        <v>22.287515938263951</v>
      </c>
      <c r="II27" s="36"/>
      <c r="IJ27" s="56">
        <f>'Health - Emissions'!HC26</f>
        <v>12.78975775431519</v>
      </c>
      <c r="IK27" s="56">
        <f>'Health - Mortality'!BE24</f>
        <v>6707.8951372466718</v>
      </c>
      <c r="IL27" s="56">
        <f>'Health - Emissions'!GT26*'Economic Activity'!$C$3</f>
        <v>347.86432314065615</v>
      </c>
      <c r="IM27" s="36"/>
      <c r="IN27" s="36"/>
      <c r="IO27" s="36"/>
      <c r="IP27" s="56">
        <f t="shared" si="57"/>
        <v>144726.81173407988</v>
      </c>
      <c r="IQ27" s="57">
        <f t="shared" si="39"/>
        <v>32673.347864484036</v>
      </c>
      <c r="IR27" s="28">
        <f>'Capital Cost'!Q23</f>
        <v>0</v>
      </c>
      <c r="IS27" s="53">
        <f>'O&amp;M'!$Q$10</f>
        <v>9677.1810000000005</v>
      </c>
      <c r="IT27" s="29"/>
      <c r="IU27" s="53">
        <f t="shared" si="72"/>
        <v>9677.1810000000005</v>
      </c>
      <c r="IV27" s="54">
        <f t="shared" si="19"/>
        <v>2184.2671535237287</v>
      </c>
      <c r="IW27" s="26"/>
    </row>
    <row r="28" spans="1:257" x14ac:dyDescent="0.3">
      <c r="A28">
        <v>23</v>
      </c>
      <c r="B28" s="34">
        <v>2044</v>
      </c>
      <c r="C28" s="52">
        <f>('Safety and Crash Costs'!$V$13+'Safety and Crash Costs'!$V$29)/20</f>
        <v>435297.07500000001</v>
      </c>
      <c r="D28" s="55">
        <f>'Health - Emissions'!N27</f>
        <v>80.576613908545411</v>
      </c>
      <c r="E28" s="35"/>
      <c r="F28" s="56">
        <f>'Health - Emissions'!O27</f>
        <v>45.668277682388108</v>
      </c>
      <c r="G28" s="56">
        <f>'Health - Mortality'!AQ25</f>
        <v>23951.823300856908</v>
      </c>
      <c r="H28" s="56">
        <f>'Health - Emissions'!F27*'Economic Activity'!$C$3</f>
        <v>1242.1161377840408</v>
      </c>
      <c r="I28" s="35"/>
      <c r="J28" s="36"/>
      <c r="K28" s="36"/>
      <c r="L28" s="56">
        <f t="shared" si="40"/>
        <v>460617.25933023187</v>
      </c>
      <c r="M28" s="57">
        <f t="shared" si="43"/>
        <v>97189.605390535085</v>
      </c>
      <c r="N28" s="28">
        <f>'Capital Cost'!C24</f>
        <v>0</v>
      </c>
      <c r="O28" s="53">
        <f>'O&amp;M'!$C$10</f>
        <v>12525.21</v>
      </c>
      <c r="P28" s="29"/>
      <c r="Q28" s="53">
        <f t="shared" si="58"/>
        <v>12525.21</v>
      </c>
      <c r="R28" s="54">
        <f t="shared" si="41"/>
        <v>2642.154012744284</v>
      </c>
      <c r="S28" s="26"/>
      <c r="T28" s="52">
        <f>('Safety and Crash Costs'!$V$14+'Safety and Crash Costs'!$V$30)/20</f>
        <v>181788.7</v>
      </c>
      <c r="U28" s="55">
        <f>'Health - Emissions'!AB27</f>
        <v>14.684140977936138</v>
      </c>
      <c r="V28" s="35"/>
      <c r="W28" s="56">
        <f>'Health - Emissions'!AC27</f>
        <v>8.3225069307187951</v>
      </c>
      <c r="X28" s="56">
        <f>'Health - Mortality'!AR25</f>
        <v>4364.9383235139694</v>
      </c>
      <c r="Y28" s="56">
        <f>'Health - Emissions'!T27*'Economic Activity'!$C$3</f>
        <v>226.3610692165864</v>
      </c>
      <c r="Z28" s="35"/>
      <c r="AA28" s="36"/>
      <c r="AB28" s="36"/>
      <c r="AC28" s="56">
        <f t="shared" si="44"/>
        <v>186403.00604063924</v>
      </c>
      <c r="AD28" s="57">
        <f t="shared" si="21"/>
        <v>39325.475929743996</v>
      </c>
      <c r="AE28" s="28">
        <f>'Capital Cost'!D24</f>
        <v>0</v>
      </c>
      <c r="AF28" s="53">
        <f>'O&amp;M'!$D$10</f>
        <v>4532.2169999999996</v>
      </c>
      <c r="AG28" s="29"/>
      <c r="AH28" s="53">
        <f t="shared" si="59"/>
        <v>4532.2169999999996</v>
      </c>
      <c r="AI28" s="54">
        <f t="shared" si="42"/>
        <v>956.05705079418715</v>
      </c>
      <c r="AJ28" s="26"/>
      <c r="AK28" s="52">
        <f>('Safety and Crash Costs'!$V$15+'Safety and Crash Costs'!$V$31)/20</f>
        <v>164338.04999999999</v>
      </c>
      <c r="AL28" s="55">
        <f>'Health - Emissions'!AP27</f>
        <v>11.158993627928897</v>
      </c>
      <c r="AM28" s="36"/>
      <c r="AN28" s="56">
        <f>'Health - Emissions'!AQ27</f>
        <v>6.3245648450140486</v>
      </c>
      <c r="AO28" s="56">
        <f>'Health - Mortality'!AS25</f>
        <v>3317.0696884197982</v>
      </c>
      <c r="AP28" s="56">
        <f>'Health - Emissions'!AH27*'Economic Activity'!$C$3</f>
        <v>172.01971383920102</v>
      </c>
      <c r="AQ28" s="35"/>
      <c r="AR28" s="36"/>
      <c r="AS28" s="36"/>
      <c r="AT28" s="56">
        <f t="shared" si="73"/>
        <v>167844.62296073194</v>
      </c>
      <c r="AU28" s="57">
        <f t="shared" si="22"/>
        <v>35409.600314883595</v>
      </c>
      <c r="AV28" s="28">
        <f>'Capital Cost'!I24</f>
        <v>0</v>
      </c>
      <c r="AW28" s="53">
        <f>'O&amp;M'!$E$10</f>
        <v>8343.6509999999998</v>
      </c>
      <c r="AX28" s="29"/>
      <c r="AY28" s="53">
        <f t="shared" si="60"/>
        <v>8343.6509999999998</v>
      </c>
      <c r="AZ28" s="54">
        <f t="shared" si="0"/>
        <v>1760.0671741701624</v>
      </c>
      <c r="BA28" s="26"/>
      <c r="BB28" s="52">
        <f>('Safety and Crash Costs'!$V$16+'Safety and Crash Costs'!$V$32)/20</f>
        <v>24774.025000000001</v>
      </c>
      <c r="BC28" s="55">
        <f>'Health - Emissions'!BD27</f>
        <v>4.1099631674643513</v>
      </c>
      <c r="BD28" s="36"/>
      <c r="BE28" s="56">
        <f>'Health - Emissions'!BE27</f>
        <v>2.3293972046179978</v>
      </c>
      <c r="BF28" s="56">
        <f>'Health - Mortality'!AT25</f>
        <v>1221.7082201030082</v>
      </c>
      <c r="BG28" s="56">
        <f>'Health - Emissions'!AV27*'Economic Activity'!$C$3</f>
        <v>63.356491770673372</v>
      </c>
      <c r="BH28" s="36"/>
      <c r="BI28" s="36"/>
      <c r="BJ28" s="36"/>
      <c r="BK28" s="56">
        <f t="shared" si="46"/>
        <v>26065.529072245768</v>
      </c>
      <c r="BL28" s="57">
        <f t="shared" si="23"/>
        <v>5499.6576210367266</v>
      </c>
      <c r="BM28" s="28">
        <f>'Capital Cost'!H24</f>
        <v>0</v>
      </c>
      <c r="BN28" s="53">
        <f>'O&amp;M'!$F$10</f>
        <v>2683.1880000000001</v>
      </c>
      <c r="BO28" s="29"/>
      <c r="BP28" s="53">
        <f t="shared" si="61"/>
        <v>2683.1880000000001</v>
      </c>
      <c r="BQ28" s="54">
        <f t="shared" si="1"/>
        <v>566.01014602927307</v>
      </c>
      <c r="BR28" s="26"/>
      <c r="BS28" s="52">
        <f>('Safety and Crash Costs'!$V$17+'Safety and Crash Costs'!$V$33)/20</f>
        <v>127904.325</v>
      </c>
      <c r="BT28" s="55">
        <f>'Health - Emissions'!BR27</f>
        <v>3.4964101240301719</v>
      </c>
      <c r="BU28" s="36"/>
      <c r="BV28" s="56">
        <f>'Health - Emissions'!BS27</f>
        <v>1.9816547344239899</v>
      </c>
      <c r="BW28" s="56">
        <f>'Health - Mortality'!AU25</f>
        <v>1039.3263431638991</v>
      </c>
      <c r="BX28" s="56">
        <f>'Health - Emissions'!BJ27*'Economic Activity'!$C$3</f>
        <v>53.898361183291094</v>
      </c>
      <c r="BY28" s="36"/>
      <c r="BZ28" s="36"/>
      <c r="CA28" s="36"/>
      <c r="CB28" s="56">
        <f t="shared" si="47"/>
        <v>129003.02776920566</v>
      </c>
      <c r="CC28" s="57">
        <f t="shared" si="24"/>
        <v>27213.820695350198</v>
      </c>
      <c r="CD28" s="28">
        <f>'Capital Cost'!G24</f>
        <v>0</v>
      </c>
      <c r="CE28" s="53">
        <f>'O&amp;M'!$G$10</f>
        <v>4052.67</v>
      </c>
      <c r="CF28" s="29"/>
      <c r="CG28" s="53">
        <f t="shared" si="62"/>
        <v>4052.67</v>
      </c>
      <c r="CH28" s="54">
        <f t="shared" si="2"/>
        <v>854.89810572664078</v>
      </c>
      <c r="CI28" s="26"/>
      <c r="CJ28" s="52">
        <f>('Safety and Crash Costs'!$V$18+'Safety and Crash Costs'!$V$34)/20</f>
        <v>11114.924999999999</v>
      </c>
      <c r="CK28" s="55">
        <f>'Health - Emissions'!CF27</f>
        <v>1.8060354225152171</v>
      </c>
      <c r="CL28" s="36"/>
      <c r="CM28" s="56">
        <f>'Health - Emissions'!CG27</f>
        <v>1.0236037874868671</v>
      </c>
      <c r="CN28" s="56">
        <f>'Health - Mortality'!AV25</f>
        <v>536.85355113421178</v>
      </c>
      <c r="CO28" s="56">
        <f>'Health - Emissions'!BX27*'Economic Activity'!$C$3</f>
        <v>27.840655432132273</v>
      </c>
      <c r="CP28" s="36"/>
      <c r="CQ28" s="36"/>
      <c r="CR28" s="36"/>
      <c r="CS28" s="56">
        <f t="shared" si="48"/>
        <v>11682.448845776345</v>
      </c>
      <c r="CT28" s="57">
        <f t="shared" si="25"/>
        <v>2464.9102995587605</v>
      </c>
      <c r="CU28" s="28">
        <f>'Capital Cost'!F24</f>
        <v>0</v>
      </c>
      <c r="CV28" s="53">
        <f>'O&amp;M'!$H$10</f>
        <v>1817.1089999999999</v>
      </c>
      <c r="CW28" s="29"/>
      <c r="CX28" s="53">
        <f t="shared" si="63"/>
        <v>1817.1089999999999</v>
      </c>
      <c r="CY28" s="54">
        <f t="shared" si="4"/>
        <v>383.31348024853503</v>
      </c>
      <c r="CZ28" s="26"/>
      <c r="DA28" s="52">
        <f>('Safety and Crash Costs'!$V$19+'Safety and Crash Costs'!$V$35)/20</f>
        <v>437404.52500000002</v>
      </c>
      <c r="DB28" s="55">
        <f>'Health - Emissions'!CT27</f>
        <v>79.660542509613308</v>
      </c>
      <c r="DC28" s="36"/>
      <c r="DD28" s="56">
        <f>'Health - Emissions'!CU27</f>
        <v>45.149077371106614</v>
      </c>
      <c r="DE28" s="56">
        <f>'Health - Mortality'!AW25</f>
        <v>23679.516247806823</v>
      </c>
      <c r="DF28" s="56">
        <f>'Health - Emissions'!CL27*'Economic Activity'!$C$3</f>
        <v>1227.9945829956077</v>
      </c>
      <c r="DG28" s="36"/>
      <c r="DH28" s="36"/>
      <c r="DI28" s="36"/>
      <c r="DJ28" s="56">
        <f t="shared" si="49"/>
        <v>462436.84545068321</v>
      </c>
      <c r="DK28" s="57">
        <f t="shared" si="26"/>
        <v>97573.170488210206</v>
      </c>
      <c r="DL28" s="28">
        <f>'Capital Cost'!E24</f>
        <v>0</v>
      </c>
      <c r="DM28" s="53">
        <f>'O&amp;M'!$I$10</f>
        <v>12625.473</v>
      </c>
      <c r="DN28" s="29"/>
      <c r="DO28" s="53">
        <f t="shared" si="64"/>
        <v>12625.473</v>
      </c>
      <c r="DP28" s="54">
        <f t="shared" si="5"/>
        <v>2663.3041801091254</v>
      </c>
      <c r="DQ28" s="26"/>
      <c r="DR28" s="52">
        <f>('Safety and Crash Costs'!$V$20+'Safety and Crash Costs'!$V$36)/20</f>
        <v>338656.9</v>
      </c>
      <c r="DS28" s="55">
        <f>'Health - Emissions'!DH27</f>
        <v>29.090729466035743</v>
      </c>
      <c r="DT28" s="36"/>
      <c r="DU28" s="56">
        <f>'Health - Emissions'!DI27</f>
        <v>16.487705883819171</v>
      </c>
      <c r="DV28" s="56">
        <f>'Health - Mortality'!AX25</f>
        <v>8647.3727061100053</v>
      </c>
      <c r="DW28" s="56">
        <f>'Health - Emissions'!CZ27*'Economic Activity'!$C$3</f>
        <v>448.44357161353201</v>
      </c>
      <c r="DX28" s="36"/>
      <c r="DY28" s="36"/>
      <c r="DZ28" s="36"/>
      <c r="EA28" s="56">
        <f t="shared" si="50"/>
        <v>347798.29471307341</v>
      </c>
      <c r="EB28" s="57">
        <f t="shared" si="27"/>
        <v>73375.569736363541</v>
      </c>
      <c r="EC28" s="28">
        <f>'Capital Cost'!K24</f>
        <v>0</v>
      </c>
      <c r="ED28" s="53">
        <f>'O&amp;M'!$J$10</f>
        <v>6594.4049999999997</v>
      </c>
      <c r="EE28" s="29"/>
      <c r="EF28" s="53">
        <f t="shared" si="65"/>
        <v>6594.4049999999997</v>
      </c>
      <c r="EG28" s="54">
        <f t="shared" si="7"/>
        <v>1391.0691822660835</v>
      </c>
      <c r="EH28" s="26"/>
      <c r="EI28" s="52">
        <f>('Safety and Crash Costs'!$V$21+'Safety and Crash Costs'!$V$37)/20</f>
        <v>143994.92499999999</v>
      </c>
      <c r="EJ28" s="55">
        <f>'Health - Emissions'!DV27</f>
        <v>11.360132858716611</v>
      </c>
      <c r="EK28" s="36"/>
      <c r="EL28" s="56">
        <f>'Health - Emissions'!DW27</f>
        <v>6.4385642028781183</v>
      </c>
      <c r="EM28" s="56">
        <f>'Health - Mortality'!AY25</f>
        <v>3376.8593852189915</v>
      </c>
      <c r="EN28" s="56">
        <f>'Health - Emissions'!DN27*'Economic Activity'!$C$3</f>
        <v>175.1203440640756</v>
      </c>
      <c r="EO28" s="36"/>
      <c r="EP28" s="36"/>
      <c r="EQ28" s="36"/>
      <c r="ER28" s="56">
        <f t="shared" si="51"/>
        <v>147564.70342634464</v>
      </c>
      <c r="ES28" s="57">
        <f t="shared" si="28"/>
        <v>31131.673980507589</v>
      </c>
      <c r="ET28" s="28">
        <f>'Capital Cost'!J24</f>
        <v>0</v>
      </c>
      <c r="EU28" s="53">
        <f>'O&amp;M'!$K$10</f>
        <v>6250.6319999999996</v>
      </c>
      <c r="EV28" s="29"/>
      <c r="EW28" s="53">
        <f t="shared" si="66"/>
        <v>6250.6319999999996</v>
      </c>
      <c r="EX28" s="54">
        <f t="shared" si="8"/>
        <v>1318.5513393378499</v>
      </c>
      <c r="EY28" s="26"/>
      <c r="EZ28" s="52">
        <f>('Safety and Crash Costs'!$V$22+'Safety and Crash Costs'!$V$38)/20</f>
        <v>212730</v>
      </c>
      <c r="FA28" s="55">
        <f>'Health - Emissions'!EJ27</f>
        <v>18.774011719756839</v>
      </c>
      <c r="FB28" s="36"/>
      <c r="FC28" s="56">
        <f>'Health - Emissions'!EK27</f>
        <v>10.640516383617065</v>
      </c>
      <c r="FD28" s="56">
        <f>'Health - Mortality'!AZ25</f>
        <v>5580.6739641629856</v>
      </c>
      <c r="FE28" s="56">
        <f>'Health - Emissions'!EB27*'Economic Activity'!$C$3</f>
        <v>289.40782935510742</v>
      </c>
      <c r="FF28" s="36"/>
      <c r="FG28" s="36"/>
      <c r="FH28" s="36"/>
      <c r="FI28" s="56">
        <f t="shared" si="52"/>
        <v>218629.49632162147</v>
      </c>
      <c r="FJ28" s="57">
        <f t="shared" si="30"/>
        <v>46124.763173942716</v>
      </c>
      <c r="FK28" s="28">
        <f>'Capital Cost'!L24</f>
        <v>0</v>
      </c>
      <c r="FL28" s="53">
        <f>'O&amp;M'!$L$10</f>
        <v>7062.8190000000004</v>
      </c>
      <c r="FM28" s="29"/>
      <c r="FN28" s="53">
        <f t="shared" si="67"/>
        <v>7062.8190000000004</v>
      </c>
      <c r="FO28" s="54">
        <f t="shared" si="10"/>
        <v>1489.8796556813477</v>
      </c>
      <c r="FP28" s="26"/>
      <c r="FQ28" s="52">
        <f>('Safety and Crash Costs'!$V$23+'Safety and Crash Costs'!$V$39)/20</f>
        <v>36292.275000000001</v>
      </c>
      <c r="FR28" s="55">
        <f>'Health - Emissions'!EX27</f>
        <v>2.7142448919800186</v>
      </c>
      <c r="FS28" s="36"/>
      <c r="FT28" s="56">
        <f>'Health - Emissions'!EY27</f>
        <v>1.538348205667168</v>
      </c>
      <c r="FU28" s="56">
        <f>'Health - Mortality'!BA25</f>
        <v>806.82360420042687</v>
      </c>
      <c r="FV28" s="56">
        <f>'Health - Emissions'!EP27*'Economic Activity'!$C$3</f>
        <v>41.841015881516626</v>
      </c>
      <c r="FW28" s="36"/>
      <c r="FX28" s="36"/>
      <c r="FY28" s="36"/>
      <c r="FZ28" s="56">
        <f t="shared" si="53"/>
        <v>37145.192213179587</v>
      </c>
      <c r="GA28" s="57">
        <f t="shared" si="31"/>
        <v>7836.4652526184618</v>
      </c>
      <c r="GB28" s="28">
        <f>'Capital Cost'!M24</f>
        <v>0</v>
      </c>
      <c r="GC28" s="53">
        <f>'O&amp;M'!$M$10</f>
        <v>2523.1620000000003</v>
      </c>
      <c r="GD28" s="29"/>
      <c r="GE28" s="53">
        <f t="shared" si="68"/>
        <v>2523.1620000000003</v>
      </c>
      <c r="GF28" s="54">
        <f t="shared" si="11"/>
        <v>532.25316007507217</v>
      </c>
      <c r="GG28" s="26"/>
      <c r="GH28" s="52">
        <f>('Safety and Crash Costs'!$V$24+'Safety and Crash Costs'!$V$40)/20</f>
        <v>43497.4</v>
      </c>
      <c r="GI28" s="55">
        <f>'Health - Emissions'!FL27</f>
        <v>12.879165783240941</v>
      </c>
      <c r="GJ28" s="36"/>
      <c r="GK28" s="56">
        <f>'Health - Emissions'!FM27</f>
        <v>7.299504046845799</v>
      </c>
      <c r="GL28" s="56">
        <f>'Health - Mortality'!BB25</f>
        <v>3828.3999306889973</v>
      </c>
      <c r="GM28" s="56">
        <f>'Health - Emissions'!FD27*'Economic Activity'!$C$3</f>
        <v>198.53675755991318</v>
      </c>
      <c r="GN28" s="36"/>
      <c r="GO28" s="36"/>
      <c r="GP28" s="36"/>
      <c r="GQ28" s="56">
        <f t="shared" si="54"/>
        <v>47544.515358078999</v>
      </c>
      <c r="GR28" s="57">
        <f t="shared" si="33"/>
        <v>10033.176282092301</v>
      </c>
      <c r="GS28" s="28">
        <f>'Capital Cost'!N24</f>
        <v>0</v>
      </c>
      <c r="GT28" s="53">
        <f>'O&amp;M'!$N$10</f>
        <v>4541.6970000000001</v>
      </c>
      <c r="GU28" s="29"/>
      <c r="GV28" s="53">
        <f t="shared" si="69"/>
        <v>4541.6970000000001</v>
      </c>
      <c r="GW28" s="54">
        <f t="shared" si="13"/>
        <v>958.0568272482999</v>
      </c>
      <c r="GX28" s="26"/>
      <c r="GY28" s="52">
        <f>('Safety and Crash Costs'!$V$25+'Safety and Crash Costs'!$V$41)/20</f>
        <v>95168.4</v>
      </c>
      <c r="GZ28" s="55">
        <f>'Health - Emissions'!FZ27</f>
        <v>7.6735575664013647</v>
      </c>
      <c r="HA28" s="36"/>
      <c r="HB28" s="56">
        <f>'Health - Emissions'!GA27</f>
        <v>4.3491298623190566</v>
      </c>
      <c r="HC28" s="56">
        <f>'Health - Mortality'!BC25</f>
        <v>2281.0054431923322</v>
      </c>
      <c r="HD28" s="56">
        <f>'Health - Emissions'!FR27*'Economic Activity'!$C$3</f>
        <v>118.2905215930292</v>
      </c>
      <c r="HE28" s="36"/>
      <c r="HF28" s="36"/>
      <c r="HG28" s="36"/>
      <c r="HH28" s="56">
        <f t="shared" si="55"/>
        <v>97579.718652214069</v>
      </c>
      <c r="HI28" s="57">
        <f t="shared" si="35"/>
        <v>20586.406942634414</v>
      </c>
      <c r="HJ28" s="28">
        <f>'Capital Cost'!O24</f>
        <v>0</v>
      </c>
      <c r="HK28" s="53">
        <f>'O&amp;M'!$O$10</f>
        <v>5217.3509999999997</v>
      </c>
      <c r="HL28" s="29"/>
      <c r="HM28" s="53">
        <f t="shared" si="70"/>
        <v>5217.3509999999997</v>
      </c>
      <c r="HN28" s="54">
        <f t="shared" si="15"/>
        <v>1100.5839327680258</v>
      </c>
      <c r="HO28" s="26"/>
      <c r="HP28" s="52">
        <f>('Safety and Crash Costs'!$V$26+'Safety and Crash Costs'!$V$42)/20</f>
        <v>142756.9</v>
      </c>
      <c r="HQ28" s="55">
        <f>'Health - Emissions'!GN27</f>
        <v>23.448994604367616</v>
      </c>
      <c r="HR28" s="36"/>
      <c r="HS28" s="56">
        <f>'Health - Emissions'!GO27</f>
        <v>13.290148903260263</v>
      </c>
      <c r="HT28" s="56">
        <f>'Health - Mortality'!BD25</f>
        <v>6970.3372740883533</v>
      </c>
      <c r="HU28" s="56">
        <f>'Health - Emissions'!GF27*'Economic Activity'!$C$3</f>
        <v>361.47429384355115</v>
      </c>
      <c r="HV28" s="36"/>
      <c r="HW28" s="36"/>
      <c r="HX28" s="36"/>
      <c r="HY28" s="56">
        <f t="shared" si="56"/>
        <v>150125.45071143954</v>
      </c>
      <c r="HZ28" s="57">
        <f t="shared" si="37"/>
        <v>31675.430858119063</v>
      </c>
      <c r="IA28" s="28">
        <f>'Capital Cost'!P24</f>
        <v>0</v>
      </c>
      <c r="IB28" s="53">
        <f>'O&amp;M'!$P$10</f>
        <v>10253.235000000001</v>
      </c>
      <c r="IC28" s="29"/>
      <c r="ID28" s="53">
        <f t="shared" si="71"/>
        <v>10253.235000000001</v>
      </c>
      <c r="IE28" s="54">
        <f t="shared" si="17"/>
        <v>2162.8879674560462</v>
      </c>
      <c r="IF28" s="26"/>
      <c r="IG28" s="52">
        <f>('Safety and Crash Costs'!$V$27+'Safety and Crash Costs'!$V$43)/20</f>
        <v>137635.97500000001</v>
      </c>
      <c r="IH28" s="55">
        <f>'Health - Emissions'!HB27</f>
        <v>24.658742268886581</v>
      </c>
      <c r="II28" s="36"/>
      <c r="IJ28" s="56">
        <f>'Health - Emissions'!HC27</f>
        <v>13.975795638572052</v>
      </c>
      <c r="IK28" s="56">
        <f>'Health - Mortality'!BE25</f>
        <v>7329.9411454060273</v>
      </c>
      <c r="IL28" s="56">
        <f>'Health - Emissions'!GT27*'Economic Activity'!$C$3</f>
        <v>380.12296898459226</v>
      </c>
      <c r="IM28" s="36"/>
      <c r="IN28" s="36"/>
      <c r="IO28" s="36"/>
      <c r="IP28" s="56">
        <f t="shared" si="57"/>
        <v>145384.67365229808</v>
      </c>
      <c r="IQ28" s="57">
        <f t="shared" si="39"/>
        <v>30675.73648951852</v>
      </c>
      <c r="IR28" s="28">
        <f>'Capital Cost'!Q24</f>
        <v>0</v>
      </c>
      <c r="IS28" s="53">
        <f>'O&amp;M'!$Q$10</f>
        <v>9677.1810000000005</v>
      </c>
      <c r="IT28" s="29"/>
      <c r="IU28" s="53">
        <f t="shared" si="72"/>
        <v>9677.1810000000005</v>
      </c>
      <c r="IV28" s="54">
        <f t="shared" si="19"/>
        <v>2041.3711715175032</v>
      </c>
      <c r="IW28" s="26"/>
    </row>
    <row r="29" spans="1:257" x14ac:dyDescent="0.3">
      <c r="A29">
        <v>24</v>
      </c>
      <c r="B29" s="34">
        <v>2045</v>
      </c>
      <c r="C29" s="52">
        <f>('Safety and Crash Costs'!$V$13+'Safety and Crash Costs'!$V$29)/20</f>
        <v>435297.07500000001</v>
      </c>
      <c r="D29" s="55">
        <f>'Health - Emissions'!N28</f>
        <v>88.794798334858385</v>
      </c>
      <c r="E29" s="35"/>
      <c r="F29" s="56">
        <f>'Health - Emissions'!O28</f>
        <v>49.712352091019163</v>
      </c>
      <c r="G29" s="56">
        <f>'Health - Mortality'!AQ26</f>
        <v>26072.835096499981</v>
      </c>
      <c r="H29" s="56">
        <f>'Health - Emissions'!F28*'Economic Activity'!$C$3</f>
        <v>1352.1095586065933</v>
      </c>
      <c r="I29" s="35"/>
      <c r="J29" s="36"/>
      <c r="K29" s="36"/>
      <c r="L29" s="56">
        <f t="shared" si="40"/>
        <v>462860.52680553251</v>
      </c>
      <c r="M29" s="57">
        <f t="shared" si="43"/>
        <v>91277.56392998161</v>
      </c>
      <c r="N29" s="28">
        <f>'Capital Cost'!C25</f>
        <v>0</v>
      </c>
      <c r="O29" s="53">
        <f>'O&amp;M'!$C$10</f>
        <v>12525.21</v>
      </c>
      <c r="P29" s="29"/>
      <c r="Q29" s="53">
        <f t="shared" si="58"/>
        <v>12525.21</v>
      </c>
      <c r="R29" s="54">
        <f t="shared" si="41"/>
        <v>2469.3028156488635</v>
      </c>
      <c r="S29" s="26"/>
      <c r="T29" s="52">
        <f>('Safety and Crash Costs'!$V$14+'Safety and Crash Costs'!$V$30)/20</f>
        <v>181788.7</v>
      </c>
      <c r="U29" s="55">
        <f>'Health - Emissions'!AB28</f>
        <v>16.18180851253404</v>
      </c>
      <c r="V29" s="35"/>
      <c r="W29" s="56">
        <f>'Health - Emissions'!AC28</f>
        <v>9.0594919672084462</v>
      </c>
      <c r="X29" s="56">
        <f>'Health - Mortality'!AR26</f>
        <v>4751.467797915041</v>
      </c>
      <c r="Y29" s="56">
        <f>'Health - Emissions'!T28*'Economic Activity'!$C$3</f>
        <v>246.40607755904435</v>
      </c>
      <c r="Z29" s="35"/>
      <c r="AA29" s="36"/>
      <c r="AB29" s="36"/>
      <c r="AC29" s="56">
        <f t="shared" si="44"/>
        <v>186811.81517595385</v>
      </c>
      <c r="AD29" s="57">
        <f t="shared" si="21"/>
        <v>36834.088117107953</v>
      </c>
      <c r="AE29" s="28">
        <f>'Capital Cost'!D25</f>
        <v>0</v>
      </c>
      <c r="AF29" s="53">
        <f>'O&amp;M'!$D$10</f>
        <v>4532.2169999999996</v>
      </c>
      <c r="AG29" s="29"/>
      <c r="AH29" s="53">
        <f t="shared" si="59"/>
        <v>4532.2169999999996</v>
      </c>
      <c r="AI29" s="54">
        <f t="shared" si="42"/>
        <v>893.5112624244739</v>
      </c>
      <c r="AJ29" s="26"/>
      <c r="AK29" s="52">
        <f>('Safety and Crash Costs'!$V$15+'Safety and Crash Costs'!$V$31)/20</f>
        <v>164338.04999999999</v>
      </c>
      <c r="AL29" s="55">
        <f>'Health - Emissions'!AP28</f>
        <v>12.297123703119921</v>
      </c>
      <c r="AM29" s="36"/>
      <c r="AN29" s="56">
        <f>'Health - Emissions'!AQ28</f>
        <v>6.8846256165923183</v>
      </c>
      <c r="AO29" s="56">
        <f>'Health - Mortality'!AS26</f>
        <v>3610.806989657186</v>
      </c>
      <c r="AP29" s="56">
        <f>'Health - Emissions'!AH28*'Economic Activity'!$C$3</f>
        <v>187.25261855602221</v>
      </c>
      <c r="AQ29" s="35"/>
      <c r="AR29" s="36"/>
      <c r="AS29" s="36"/>
      <c r="AT29" s="56">
        <f t="shared" si="73"/>
        <v>168155.29135753293</v>
      </c>
      <c r="AU29" s="57">
        <f t="shared" si="22"/>
        <v>33154.872351279009</v>
      </c>
      <c r="AV29" s="28">
        <f>'Capital Cost'!I25</f>
        <v>0</v>
      </c>
      <c r="AW29" s="53">
        <f>'O&amp;M'!$E$10</f>
        <v>8343.6509999999998</v>
      </c>
      <c r="AX29" s="29"/>
      <c r="AY29" s="53">
        <f t="shared" si="60"/>
        <v>8343.6509999999998</v>
      </c>
      <c r="AZ29" s="54">
        <f t="shared" si="0"/>
        <v>1644.9225926823947</v>
      </c>
      <c r="BA29" s="26"/>
      <c r="BB29" s="52">
        <f>('Safety and Crash Costs'!$V$16+'Safety and Crash Costs'!$V$32)/20</f>
        <v>24774.025000000001</v>
      </c>
      <c r="BC29" s="55">
        <f>'Health - Emissions'!BD28</f>
        <v>4.5291472663880361</v>
      </c>
      <c r="BD29" s="36"/>
      <c r="BE29" s="56">
        <f>'Health - Emissions'!BE28</f>
        <v>2.5356728975234306</v>
      </c>
      <c r="BF29" s="56">
        <f>'Health - Mortality'!AT26</f>
        <v>1329.8944534900866</v>
      </c>
      <c r="BG29" s="56">
        <f>'Health - Emissions'!AV28*'Economic Activity'!$C$3</f>
        <v>68.966915022725061</v>
      </c>
      <c r="BH29" s="36"/>
      <c r="BI29" s="36"/>
      <c r="BJ29" s="36"/>
      <c r="BK29" s="56">
        <f t="shared" si="46"/>
        <v>26179.951188676725</v>
      </c>
      <c r="BL29" s="57">
        <f t="shared" si="23"/>
        <v>5162.6240215344569</v>
      </c>
      <c r="BM29" s="28">
        <f>'Capital Cost'!H25</f>
        <v>0</v>
      </c>
      <c r="BN29" s="53">
        <f>'O&amp;M'!$F$10</f>
        <v>2683.1880000000001</v>
      </c>
      <c r="BO29" s="29"/>
      <c r="BP29" s="53">
        <f t="shared" si="61"/>
        <v>2683.1880000000001</v>
      </c>
      <c r="BQ29" s="54">
        <f t="shared" si="1"/>
        <v>528.98144488717105</v>
      </c>
      <c r="BR29" s="26"/>
      <c r="BS29" s="52">
        <f>('Safety and Crash Costs'!$V$17+'Safety and Crash Costs'!$V$33)/20</f>
        <v>127904.325</v>
      </c>
      <c r="BT29" s="55">
        <f>'Health - Emissions'!BR28</f>
        <v>3.8530166111421886</v>
      </c>
      <c r="BU29" s="36"/>
      <c r="BV29" s="56">
        <f>'Health - Emissions'!BS28</f>
        <v>2.1571367014463014</v>
      </c>
      <c r="BW29" s="56">
        <f>'Health - Mortality'!AU26</f>
        <v>1131.3620686150939</v>
      </c>
      <c r="BX29" s="56">
        <f>'Health - Emissions'!BJ28*'Economic Activity'!$C$3</f>
        <v>58.671236233329587</v>
      </c>
      <c r="BY29" s="36"/>
      <c r="BZ29" s="36"/>
      <c r="CA29" s="36"/>
      <c r="CB29" s="56">
        <f t="shared" si="47"/>
        <v>129100.36845816101</v>
      </c>
      <c r="CC29" s="57">
        <f t="shared" si="24"/>
        <v>25452.83709532685</v>
      </c>
      <c r="CD29" s="28">
        <f>'Capital Cost'!G25</f>
        <v>0</v>
      </c>
      <c r="CE29" s="53">
        <f>'O&amp;M'!$G$10</f>
        <v>4052.67</v>
      </c>
      <c r="CF29" s="29"/>
      <c r="CG29" s="53">
        <f t="shared" si="62"/>
        <v>4052.67</v>
      </c>
      <c r="CH29" s="54">
        <f t="shared" si="2"/>
        <v>798.97019226788859</v>
      </c>
      <c r="CI29" s="26"/>
      <c r="CJ29" s="52">
        <f>('Safety and Crash Costs'!$V$18+'Safety and Crash Costs'!$V$34)/20</f>
        <v>11114.924999999999</v>
      </c>
      <c r="CK29" s="55">
        <f>'Health - Emissions'!CF28</f>
        <v>1.9902369105490791</v>
      </c>
      <c r="CL29" s="36"/>
      <c r="CM29" s="56">
        <f>'Health - Emissions'!CG28</f>
        <v>1.1142472295352597</v>
      </c>
      <c r="CN29" s="56">
        <f>'Health - Mortality'!AV26</f>
        <v>584.39367783712521</v>
      </c>
      <c r="CO29" s="56">
        <f>'Health - Emissions'!BX28*'Economic Activity'!$C$3</f>
        <v>30.306035951529903</v>
      </c>
      <c r="CP29" s="36"/>
      <c r="CQ29" s="36"/>
      <c r="CR29" s="36"/>
      <c r="CS29" s="56">
        <f t="shared" si="48"/>
        <v>11732.729197928738</v>
      </c>
      <c r="CT29" s="57">
        <f t="shared" si="25"/>
        <v>2313.6546003459985</v>
      </c>
      <c r="CU29" s="28">
        <f>'Capital Cost'!F25</f>
        <v>0</v>
      </c>
      <c r="CV29" s="53">
        <f>'O&amp;M'!$H$10</f>
        <v>1817.1089999999999</v>
      </c>
      <c r="CW29" s="29"/>
      <c r="CX29" s="53">
        <f t="shared" si="63"/>
        <v>1817.1089999999999</v>
      </c>
      <c r="CY29" s="54">
        <f t="shared" si="4"/>
        <v>358.23689742853736</v>
      </c>
      <c r="CZ29" s="26"/>
      <c r="DA29" s="52">
        <f>('Safety and Crash Costs'!$V$19+'Safety and Crash Costs'!$V$35)/20</f>
        <v>437404.52500000002</v>
      </c>
      <c r="DB29" s="55">
        <f>'Health - Emissions'!CT28</f>
        <v>87.785294817859878</v>
      </c>
      <c r="DC29" s="36"/>
      <c r="DD29" s="56">
        <f>'Health - Emissions'!CU28</f>
        <v>49.147174904795975</v>
      </c>
      <c r="DE29" s="56">
        <f>'Health - Mortality'!AW26</f>
        <v>25776.414368916594</v>
      </c>
      <c r="DF29" s="56">
        <f>'Health - Emissions'!CL28*'Economic Activity'!$C$3</f>
        <v>1336.7374942472243</v>
      </c>
      <c r="DG29" s="36"/>
      <c r="DH29" s="36"/>
      <c r="DI29" s="36"/>
      <c r="DJ29" s="56">
        <f t="shared" si="49"/>
        <v>464654.60933288652</v>
      </c>
      <c r="DK29" s="57">
        <f t="shared" si="26"/>
        <v>91630.963647527882</v>
      </c>
      <c r="DL29" s="28">
        <f>'Capital Cost'!E25</f>
        <v>0</v>
      </c>
      <c r="DM29" s="53">
        <f>'O&amp;M'!$I$10</f>
        <v>12625.473</v>
      </c>
      <c r="DN29" s="29"/>
      <c r="DO29" s="53">
        <f t="shared" si="64"/>
        <v>12625.473</v>
      </c>
      <c r="DP29" s="54">
        <f t="shared" si="5"/>
        <v>2489.0693272047897</v>
      </c>
      <c r="DQ29" s="26"/>
      <c r="DR29" s="52">
        <f>('Safety and Crash Costs'!$V$20+'Safety and Crash Costs'!$V$36)/20</f>
        <v>338656.9</v>
      </c>
      <c r="DS29" s="55">
        <f>'Health - Emissions'!DH28</f>
        <v>32.057756352015403</v>
      </c>
      <c r="DT29" s="36"/>
      <c r="DU29" s="56">
        <f>'Health - Emissions'!DI28</f>
        <v>17.94774582413649</v>
      </c>
      <c r="DV29" s="56">
        <f>'Health - Mortality'!AX26</f>
        <v>9413.1256628097581</v>
      </c>
      <c r="DW29" s="56">
        <f>'Health - Emissions'!CZ28*'Economic Activity'!$C$3</f>
        <v>488.1547073014184</v>
      </c>
      <c r="DX29" s="36"/>
      <c r="DY29" s="36"/>
      <c r="DZ29" s="36"/>
      <c r="EA29" s="56">
        <f t="shared" si="50"/>
        <v>348608.18587228731</v>
      </c>
      <c r="EB29" s="57">
        <f t="shared" si="27"/>
        <v>68736.375744756166</v>
      </c>
      <c r="EC29" s="28">
        <f>'Capital Cost'!K25</f>
        <v>0</v>
      </c>
      <c r="ED29" s="53">
        <f>'O&amp;M'!$J$10</f>
        <v>6594.4049999999997</v>
      </c>
      <c r="EE29" s="29"/>
      <c r="EF29" s="53">
        <f t="shared" si="65"/>
        <v>6594.4049999999997</v>
      </c>
      <c r="EG29" s="54">
        <f t="shared" si="7"/>
        <v>1300.0646563234425</v>
      </c>
      <c r="EH29" s="26"/>
      <c r="EI29" s="52">
        <f>('Safety and Crash Costs'!$V$21+'Safety and Crash Costs'!$V$37)/20</f>
        <v>143994.92499999999</v>
      </c>
      <c r="EJ29" s="55">
        <f>'Health - Emissions'!DV28</f>
        <v>12.518777562331413</v>
      </c>
      <c r="EK29" s="36"/>
      <c r="EL29" s="56">
        <f>'Health - Emissions'!DW28</f>
        <v>7.0087199880880551</v>
      </c>
      <c r="EM29" s="56">
        <f>'Health - Mortality'!AY26</f>
        <v>3675.8912584217828</v>
      </c>
      <c r="EN29" s="56">
        <f>'Health - Emissions'!DN28*'Economic Activity'!$C$3</f>
        <v>190.62781966421872</v>
      </c>
      <c r="EO29" s="36"/>
      <c r="EP29" s="36"/>
      <c r="EQ29" s="36"/>
      <c r="ER29" s="56">
        <f t="shared" si="51"/>
        <v>147880.97157563642</v>
      </c>
      <c r="ES29" s="57">
        <f t="shared" si="28"/>
        <v>29157.924075219085</v>
      </c>
      <c r="ET29" s="28">
        <f>'Capital Cost'!J25</f>
        <v>0</v>
      </c>
      <c r="EU29" s="53">
        <f>'O&amp;M'!$K$10</f>
        <v>6250.6319999999996</v>
      </c>
      <c r="EV29" s="29"/>
      <c r="EW29" s="53">
        <f t="shared" si="66"/>
        <v>6250.6319999999996</v>
      </c>
      <c r="EX29" s="54">
        <f t="shared" si="8"/>
        <v>1232.2909713437848</v>
      </c>
      <c r="EY29" s="26"/>
      <c r="EZ29" s="52">
        <f>('Safety and Crash Costs'!$V$22+'Safety and Crash Costs'!$V$38)/20</f>
        <v>212730</v>
      </c>
      <c r="FA29" s="55">
        <f>'Health - Emissions'!EJ28</f>
        <v>20.688814083006299</v>
      </c>
      <c r="FB29" s="36"/>
      <c r="FC29" s="56">
        <f>'Health - Emissions'!EK28</f>
        <v>11.582768690587685</v>
      </c>
      <c r="FD29" s="56">
        <f>'Health - Mortality'!AZ26</f>
        <v>6074.8607806298714</v>
      </c>
      <c r="FE29" s="56">
        <f>'Health - Emissions'!EB28*'Economic Activity'!$C$3</f>
        <v>315.03583320697612</v>
      </c>
      <c r="FF29" s="36"/>
      <c r="FG29" s="36"/>
      <c r="FH29" s="36"/>
      <c r="FI29" s="56">
        <f t="shared" si="52"/>
        <v>219152.16819661047</v>
      </c>
      <c r="FJ29" s="57">
        <f t="shared" si="30"/>
        <v>43211.208010256931</v>
      </c>
      <c r="FK29" s="28">
        <f>'Capital Cost'!L25</f>
        <v>0</v>
      </c>
      <c r="FL29" s="53">
        <f>'O&amp;M'!$L$10</f>
        <v>7062.8190000000004</v>
      </c>
      <c r="FM29" s="29"/>
      <c r="FN29" s="53">
        <f t="shared" si="67"/>
        <v>7062.8190000000004</v>
      </c>
      <c r="FO29" s="54">
        <f t="shared" si="10"/>
        <v>1392.4108931601381</v>
      </c>
      <c r="FP29" s="26"/>
      <c r="FQ29" s="52">
        <f>('Safety and Crash Costs'!$V$23+'Safety and Crash Costs'!$V$39)/20</f>
        <v>36292.275000000001</v>
      </c>
      <c r="FR29" s="55">
        <f>'Health - Emissions'!EX28</f>
        <v>2.9910766427630326</v>
      </c>
      <c r="FS29" s="36"/>
      <c r="FT29" s="56">
        <f>'Health - Emissions'!EY28</f>
        <v>1.674573938841714</v>
      </c>
      <c r="FU29" s="56">
        <f>'Health - Mortality'!BA26</f>
        <v>878.27045649292586</v>
      </c>
      <c r="FV29" s="56">
        <f>'Health - Emissions'!EP28*'Economic Activity'!$C$3</f>
        <v>45.546173819251194</v>
      </c>
      <c r="FW29" s="36"/>
      <c r="FX29" s="36"/>
      <c r="FY29" s="36"/>
      <c r="FZ29" s="56">
        <f t="shared" si="53"/>
        <v>37220.757280893784</v>
      </c>
      <c r="GA29" s="57">
        <f t="shared" si="31"/>
        <v>7338.828220721186</v>
      </c>
      <c r="GB29" s="28">
        <f>'Capital Cost'!M25</f>
        <v>0</v>
      </c>
      <c r="GC29" s="53">
        <f>'O&amp;M'!$M$10</f>
        <v>2523.1620000000003</v>
      </c>
      <c r="GD29" s="29"/>
      <c r="GE29" s="53">
        <f t="shared" si="68"/>
        <v>2523.1620000000003</v>
      </c>
      <c r="GF29" s="54">
        <f t="shared" si="11"/>
        <v>497.43285988324499</v>
      </c>
      <c r="GG29" s="26"/>
      <c r="GH29" s="52">
        <f>('Safety and Crash Costs'!$V$24+'Safety and Crash Costs'!$V$40)/20</f>
        <v>43497.4</v>
      </c>
      <c r="GI29" s="55">
        <f>'Health - Emissions'!FL28</f>
        <v>14.192739964750553</v>
      </c>
      <c r="GJ29" s="36"/>
      <c r="GK29" s="56">
        <f>'Health - Emissions'!FM28</f>
        <v>7.9458988532549792</v>
      </c>
      <c r="GL29" s="56">
        <f>'Health - Mortality'!BB26</f>
        <v>4167.4171866796923</v>
      </c>
      <c r="GM29" s="56">
        <f>'Health - Emissions'!FD28*'Economic Activity'!$C$3</f>
        <v>216.11783267740708</v>
      </c>
      <c r="GN29" s="36"/>
      <c r="GO29" s="36"/>
      <c r="GP29" s="36"/>
      <c r="GQ29" s="56">
        <f t="shared" si="54"/>
        <v>47903.073658175112</v>
      </c>
      <c r="GR29" s="57">
        <f t="shared" si="33"/>
        <v>9448.1128937553385</v>
      </c>
      <c r="GS29" s="28">
        <f>'Capital Cost'!N25</f>
        <v>0</v>
      </c>
      <c r="GT29" s="53">
        <f>'O&amp;M'!$N$10</f>
        <v>4541.6970000000001</v>
      </c>
      <c r="GU29" s="29"/>
      <c r="GV29" s="53">
        <f t="shared" si="69"/>
        <v>4541.6970000000001</v>
      </c>
      <c r="GW29" s="54">
        <f t="shared" si="13"/>
        <v>895.38021238158865</v>
      </c>
      <c r="GX29" s="26"/>
      <c r="GY29" s="52">
        <f>('Safety and Crash Costs'!$V$25+'Safety and Crash Costs'!$V$41)/20</f>
        <v>95168.4</v>
      </c>
      <c r="GZ29" s="55">
        <f>'Health - Emissions'!FZ28</f>
        <v>8.4562004230271341</v>
      </c>
      <c r="HA29" s="36"/>
      <c r="HB29" s="56">
        <f>'Health - Emissions'!GA28</f>
        <v>4.73425944610453</v>
      </c>
      <c r="HC29" s="56">
        <f>'Health - Mortality'!BC26</f>
        <v>2482.9958883524673</v>
      </c>
      <c r="HD29" s="56">
        <f>'Health - Emissions'!FR28*'Economic Activity'!$C$3</f>
        <v>128.76553171898524</v>
      </c>
      <c r="HE29" s="36"/>
      <c r="HF29" s="36"/>
      <c r="HG29" s="36"/>
      <c r="HH29" s="56">
        <f t="shared" si="55"/>
        <v>97793.351879940572</v>
      </c>
      <c r="HI29" s="57">
        <f t="shared" si="35"/>
        <v>19282.121555531881</v>
      </c>
      <c r="HJ29" s="28">
        <f>'Capital Cost'!O25</f>
        <v>0</v>
      </c>
      <c r="HK29" s="53">
        <f>'O&amp;M'!$O$10</f>
        <v>5217.3509999999997</v>
      </c>
      <c r="HL29" s="29"/>
      <c r="HM29" s="53">
        <f t="shared" si="70"/>
        <v>5217.3509999999997</v>
      </c>
      <c r="HN29" s="54">
        <f t="shared" si="15"/>
        <v>1028.5831147364725</v>
      </c>
      <c r="HO29" s="26"/>
      <c r="HP29" s="52">
        <f>('Safety and Crash Costs'!$V$26+'Safety and Crash Costs'!$V$42)/20</f>
        <v>142756.9</v>
      </c>
      <c r="HQ29" s="55">
        <f>'Health - Emissions'!GN28</f>
        <v>25.840608658651831</v>
      </c>
      <c r="HR29" s="36"/>
      <c r="HS29" s="56">
        <f>'Health - Emissions'!GO28</f>
        <v>14.467034781032224</v>
      </c>
      <c r="HT29" s="56">
        <f>'Health - Mortality'!BD26</f>
        <v>7587.5832929926019</v>
      </c>
      <c r="HU29" s="56">
        <f>'Health - Emissions'!GF28*'Economic Activity'!$C$3</f>
        <v>393.48401733865109</v>
      </c>
      <c r="HV29" s="36"/>
      <c r="HW29" s="36"/>
      <c r="HX29" s="36"/>
      <c r="HY29" s="56">
        <f t="shared" si="56"/>
        <v>150778.27495377095</v>
      </c>
      <c r="HZ29" s="57">
        <f t="shared" si="37"/>
        <v>29733.044747358468</v>
      </c>
      <c r="IA29" s="28">
        <f>'Capital Cost'!P25</f>
        <v>0</v>
      </c>
      <c r="IB29" s="53">
        <f>'O&amp;M'!$P$10</f>
        <v>10253.235000000001</v>
      </c>
      <c r="IC29" s="29"/>
      <c r="ID29" s="53">
        <f t="shared" si="71"/>
        <v>10253.235000000001</v>
      </c>
      <c r="IE29" s="54">
        <f t="shared" si="17"/>
        <v>2021.3906237906972</v>
      </c>
      <c r="IF29" s="26"/>
      <c r="IG29" s="52">
        <f>('Safety and Crash Costs'!$V$27+'Safety and Crash Costs'!$V$43)/20</f>
        <v>137635.97500000001</v>
      </c>
      <c r="IH29" s="55">
        <f>'Health - Emissions'!HB28</f>
        <v>27.173741123475299</v>
      </c>
      <c r="II29" s="36"/>
      <c r="IJ29" s="56">
        <f>'Health - Emissions'!HC28</f>
        <v>15.213397763077033</v>
      </c>
      <c r="IK29" s="56">
        <f>'Health - Mortality'!BE26</f>
        <v>7979.0312558119231</v>
      </c>
      <c r="IL29" s="56">
        <f>'Health - Emissions'!GT28*'Economic Activity'!$C$3</f>
        <v>413.78409327078987</v>
      </c>
      <c r="IM29" s="36"/>
      <c r="IN29" s="36"/>
      <c r="IO29" s="36"/>
      <c r="IP29" s="56">
        <f t="shared" si="57"/>
        <v>146071.17748796925</v>
      </c>
      <c r="IQ29" s="57">
        <f t="shared" si="39"/>
        <v>28805.449382481191</v>
      </c>
      <c r="IR29" s="28">
        <f>'Capital Cost'!Q25</f>
        <v>0</v>
      </c>
      <c r="IS29" s="53">
        <f>'O&amp;M'!$Q$10</f>
        <v>9677.1810000000005</v>
      </c>
      <c r="IT29" s="29"/>
      <c r="IU29" s="53">
        <f t="shared" si="72"/>
        <v>9677.1810000000005</v>
      </c>
      <c r="IV29" s="54">
        <f t="shared" si="19"/>
        <v>1907.8235247827131</v>
      </c>
      <c r="IW29" s="26"/>
    </row>
    <row r="30" spans="1:257" x14ac:dyDescent="0.3">
      <c r="A30">
        <v>25</v>
      </c>
      <c r="B30" s="34">
        <v>2046</v>
      </c>
      <c r="C30" s="52">
        <f>('Safety and Crash Costs'!$V$13+'Safety and Crash Costs'!$V$29)/20</f>
        <v>435297.07500000001</v>
      </c>
      <c r="D30" s="55">
        <f>'Health - Emissions'!N29</f>
        <v>98.680755702936466</v>
      </c>
      <c r="E30" s="35"/>
      <c r="F30" s="56">
        <f>'Health - Emissions'!O29</f>
        <v>53.931663932798756</v>
      </c>
      <c r="G30" s="56">
        <f>'Health - Mortality'!AQ27</f>
        <v>28285.754365940513</v>
      </c>
      <c r="H30" s="56">
        <f>'Health - Emissions'!F29*'Economic Activity'!$C$3</f>
        <v>1466.8692034845271</v>
      </c>
      <c r="I30" s="35"/>
      <c r="J30" s="36"/>
      <c r="K30" s="36"/>
      <c r="L30" s="56">
        <f t="shared" si="40"/>
        <v>465202.31098906079</v>
      </c>
      <c r="M30" s="57">
        <f t="shared" si="43"/>
        <v>85742.09181160669</v>
      </c>
      <c r="N30" s="28">
        <f>'Capital Cost'!C26</f>
        <v>0</v>
      </c>
      <c r="O30" s="53">
        <f>'O&amp;M'!$C$10</f>
        <v>12525.21</v>
      </c>
      <c r="P30" s="29"/>
      <c r="Q30" s="53">
        <f t="shared" si="58"/>
        <v>12525.21</v>
      </c>
      <c r="R30" s="54">
        <f t="shared" si="41"/>
        <v>2307.7596407933302</v>
      </c>
      <c r="S30" s="26"/>
      <c r="T30" s="52">
        <f>('Safety and Crash Costs'!$V$14+'Safety and Crash Costs'!$V$30)/20</f>
        <v>181788.7</v>
      </c>
      <c r="U30" s="55">
        <f>'Health - Emissions'!AB29</f>
        <v>17.983408066711</v>
      </c>
      <c r="V30" s="35"/>
      <c r="W30" s="56">
        <f>'Health - Emissions'!AC29</f>
        <v>9.8284119665631913</v>
      </c>
      <c r="X30" s="56">
        <f>'Health - Mortality'!AR27</f>
        <v>5154.7463293526826</v>
      </c>
      <c r="Y30" s="56">
        <f>'Health - Emissions'!T29*'Economic Activity'!$C$3</f>
        <v>267.31967422467369</v>
      </c>
      <c r="Z30" s="35"/>
      <c r="AA30" s="36"/>
      <c r="AB30" s="36"/>
      <c r="AC30" s="56">
        <f t="shared" si="44"/>
        <v>187238.57782361066</v>
      </c>
      <c r="AD30" s="57">
        <f t="shared" si="21"/>
        <v>34503.829512135737</v>
      </c>
      <c r="AE30" s="28">
        <f>'Capital Cost'!D26</f>
        <v>0</v>
      </c>
      <c r="AF30" s="53">
        <f>'O&amp;M'!$D$10</f>
        <v>4532.2169999999996</v>
      </c>
      <c r="AG30" s="29"/>
      <c r="AH30" s="53">
        <f t="shared" si="59"/>
        <v>4532.2169999999996</v>
      </c>
      <c r="AI30" s="54">
        <f t="shared" si="42"/>
        <v>835.05725460231201</v>
      </c>
      <c r="AJ30" s="26"/>
      <c r="AK30" s="52">
        <f>('Safety and Crash Costs'!$V$15+'Safety and Crash Costs'!$V$31)/20</f>
        <v>164338.04999999999</v>
      </c>
      <c r="AL30" s="55">
        <f>'Health - Emissions'!AP29</f>
        <v>13.666222377352749</v>
      </c>
      <c r="AM30" s="36"/>
      <c r="AN30" s="56">
        <f>'Health - Emissions'!AQ29</f>
        <v>7.4689548862499251</v>
      </c>
      <c r="AO30" s="56">
        <f>'Health - Mortality'!AS27</f>
        <v>3917.2724866416534</v>
      </c>
      <c r="AP30" s="56">
        <f>'Health - Emissions'!AH29*'Economic Activity'!$C$3</f>
        <v>203.14559399663491</v>
      </c>
      <c r="AQ30" s="35"/>
      <c r="AR30" s="36"/>
      <c r="AS30" s="36"/>
      <c r="AT30" s="56">
        <f t="shared" si="73"/>
        <v>168479.60325790188</v>
      </c>
      <c r="AU30" s="57">
        <f t="shared" si="22"/>
        <v>31046.237403226984</v>
      </c>
      <c r="AV30" s="28">
        <f>'Capital Cost'!I26</f>
        <v>0</v>
      </c>
      <c r="AW30" s="53">
        <f>'O&amp;M'!$E$10</f>
        <v>8343.6509999999998</v>
      </c>
      <c r="AX30" s="29"/>
      <c r="AY30" s="53">
        <f t="shared" si="60"/>
        <v>8343.6509999999998</v>
      </c>
      <c r="AZ30" s="54">
        <f t="shared" si="0"/>
        <v>1537.3108342826117</v>
      </c>
      <c r="BA30" s="26"/>
      <c r="BB30" s="52">
        <f>('Safety and Crash Costs'!$V$16+'Safety and Crash Costs'!$V$32)/20</f>
        <v>24774.025000000001</v>
      </c>
      <c r="BC30" s="55">
        <f>'Health - Emissions'!BD29</f>
        <v>5.0333992904807801</v>
      </c>
      <c r="BD30" s="36"/>
      <c r="BE30" s="56">
        <f>'Health - Emissions'!BE29</f>
        <v>2.7508869083956484</v>
      </c>
      <c r="BF30" s="56">
        <f>'Health - Mortality'!AT27</f>
        <v>1442.7686020649512</v>
      </c>
      <c r="BG30" s="56">
        <f>'Health - Emissions'!AV29*'Economic Activity'!$C$3</f>
        <v>74.820448581418987</v>
      </c>
      <c r="BH30" s="36"/>
      <c r="BI30" s="36"/>
      <c r="BJ30" s="36"/>
      <c r="BK30" s="56">
        <f t="shared" si="46"/>
        <v>26299.39833684525</v>
      </c>
      <c r="BL30" s="57">
        <f t="shared" si="23"/>
        <v>4847.1190927475318</v>
      </c>
      <c r="BM30" s="28">
        <f>'Capital Cost'!H26</f>
        <v>0</v>
      </c>
      <c r="BN30" s="53">
        <f>'O&amp;M'!$F$10</f>
        <v>2683.1880000000001</v>
      </c>
      <c r="BO30" s="29"/>
      <c r="BP30" s="53">
        <f t="shared" si="61"/>
        <v>2683.1880000000001</v>
      </c>
      <c r="BQ30" s="54">
        <f t="shared" si="1"/>
        <v>494.37518213754299</v>
      </c>
      <c r="BR30" s="26"/>
      <c r="BS30" s="52">
        <f>('Safety and Crash Costs'!$V$17+'Safety and Crash Costs'!$V$33)/20</f>
        <v>127904.325</v>
      </c>
      <c r="BT30" s="55">
        <f>'Health - Emissions'!BR29</f>
        <v>4.2819917163347503</v>
      </c>
      <c r="BU30" s="36"/>
      <c r="BV30" s="56">
        <f>'Health - Emissions'!BS29</f>
        <v>2.3402226357445888</v>
      </c>
      <c r="BW30" s="56">
        <f>'Health - Mortality'!AU27</f>
        <v>1227.3858770381569</v>
      </c>
      <c r="BX30" s="56">
        <f>'Health - Emissions'!BJ29*'Economic Activity'!$C$3</f>
        <v>63.65092903398174</v>
      </c>
      <c r="BY30" s="36"/>
      <c r="BZ30" s="36"/>
      <c r="CA30" s="36"/>
      <c r="CB30" s="56">
        <f t="shared" si="47"/>
        <v>129201.98402042421</v>
      </c>
      <c r="CC30" s="57">
        <f t="shared" si="24"/>
        <v>23806.615439644065</v>
      </c>
      <c r="CD30" s="28">
        <f>'Capital Cost'!G26</f>
        <v>0</v>
      </c>
      <c r="CE30" s="53">
        <f>'O&amp;M'!$G$10</f>
        <v>4052.67</v>
      </c>
      <c r="CF30" s="29"/>
      <c r="CG30" s="53">
        <f t="shared" si="62"/>
        <v>4052.67</v>
      </c>
      <c r="CH30" s="54">
        <f t="shared" si="2"/>
        <v>746.70111426905464</v>
      </c>
      <c r="CI30" s="26"/>
      <c r="CJ30" s="52">
        <f>('Safety and Crash Costs'!$V$18+'Safety and Crash Costs'!$V$34)/20</f>
        <v>11114.924999999999</v>
      </c>
      <c r="CK30" s="55">
        <f>'Health - Emissions'!CF29</f>
        <v>2.2118196791237064</v>
      </c>
      <c r="CL30" s="36"/>
      <c r="CM30" s="56">
        <f>'Health - Emissions'!CG29</f>
        <v>1.2088184242685205</v>
      </c>
      <c r="CN30" s="56">
        <f>'Health - Mortality'!AV27</f>
        <v>633.99380861839927</v>
      </c>
      <c r="CO30" s="56">
        <f>'Health - Emissions'!BX29*'Economic Activity'!$C$3</f>
        <v>32.878246096275554</v>
      </c>
      <c r="CP30" s="36"/>
      <c r="CQ30" s="36"/>
      <c r="CR30" s="36"/>
      <c r="CS30" s="56">
        <f t="shared" si="48"/>
        <v>11785.217692818067</v>
      </c>
      <c r="CT30" s="57">
        <f t="shared" si="25"/>
        <v>2172.065518262521</v>
      </c>
      <c r="CU30" s="28">
        <f>'Capital Cost'!F26</f>
        <v>0</v>
      </c>
      <c r="CV30" s="53">
        <f>'O&amp;M'!$H$10</f>
        <v>1817.1089999999999</v>
      </c>
      <c r="CW30" s="29"/>
      <c r="CX30" s="53">
        <f t="shared" si="63"/>
        <v>1817.1089999999999</v>
      </c>
      <c r="CY30" s="54">
        <f t="shared" si="4"/>
        <v>334.80083871825923</v>
      </c>
      <c r="CZ30" s="26"/>
      <c r="DA30" s="52">
        <f>('Safety and Crash Costs'!$V$19+'Safety and Crash Costs'!$V$35)/20</f>
        <v>437404.52500000002</v>
      </c>
      <c r="DB30" s="55">
        <f>'Health - Emissions'!CT29</f>
        <v>97.558859242667367</v>
      </c>
      <c r="DC30" s="36"/>
      <c r="DD30" s="56">
        <f>'Health - Emissions'!CU29</f>
        <v>53.318517606226493</v>
      </c>
      <c r="DE30" s="56">
        <f>'Health - Mortality'!AW27</f>
        <v>27964.175072458824</v>
      </c>
      <c r="DF30" s="56">
        <f>'Health - Emissions'!CL29*'Economic Activity'!$C$3</f>
        <v>1450.1924425969119</v>
      </c>
      <c r="DG30" s="36"/>
      <c r="DH30" s="36"/>
      <c r="DI30" s="36"/>
      <c r="DJ30" s="56">
        <f t="shared" si="49"/>
        <v>466969.76989190461</v>
      </c>
      <c r="DK30" s="57">
        <f t="shared" si="26"/>
        <v>86067.415545262542</v>
      </c>
      <c r="DL30" s="28">
        <f>'Capital Cost'!E26</f>
        <v>0</v>
      </c>
      <c r="DM30" s="53">
        <f>'O&amp;M'!$I$10</f>
        <v>12625.473</v>
      </c>
      <c r="DN30" s="29"/>
      <c r="DO30" s="53">
        <f t="shared" si="64"/>
        <v>12625.473</v>
      </c>
      <c r="DP30" s="54">
        <f t="shared" si="5"/>
        <v>2326.2330160792426</v>
      </c>
      <c r="DQ30" s="26"/>
      <c r="DR30" s="52">
        <f>('Safety and Crash Costs'!$V$20+'Safety and Crash Costs'!$V$36)/20</f>
        <v>338656.9</v>
      </c>
      <c r="DS30" s="55">
        <f>'Health - Emissions'!DH29</f>
        <v>35.626902501963279</v>
      </c>
      <c r="DT30" s="36"/>
      <c r="DU30" s="56">
        <f>'Health - Emissions'!DI29</f>
        <v>19.471052071050305</v>
      </c>
      <c r="DV30" s="56">
        <f>'Health - Mortality'!AX27</f>
        <v>10212.060151053925</v>
      </c>
      <c r="DW30" s="56">
        <f>'Health - Emissions'!CZ29*'Economic Activity'!$C$3</f>
        <v>529.58660200167742</v>
      </c>
      <c r="DX30" s="36"/>
      <c r="DY30" s="36"/>
      <c r="DZ30" s="36"/>
      <c r="EA30" s="56">
        <f t="shared" si="50"/>
        <v>349453.64470762864</v>
      </c>
      <c r="EB30" s="57">
        <f t="shared" si="27"/>
        <v>64396.997999096333</v>
      </c>
      <c r="EC30" s="28">
        <f>'Capital Cost'!K26</f>
        <v>0</v>
      </c>
      <c r="ED30" s="53">
        <f>'O&amp;M'!$J$10</f>
        <v>6594.4049999999997</v>
      </c>
      <c r="EE30" s="29"/>
      <c r="EF30" s="53">
        <f t="shared" si="65"/>
        <v>6594.4049999999997</v>
      </c>
      <c r="EG30" s="54">
        <f t="shared" si="7"/>
        <v>1215.0136974985442</v>
      </c>
      <c r="EH30" s="26"/>
      <c r="EI30" s="52">
        <f>('Safety and Crash Costs'!$V$21+'Safety and Crash Costs'!$V$37)/20</f>
        <v>143994.92499999999</v>
      </c>
      <c r="EJ30" s="55">
        <f>'Health - Emissions'!DV29</f>
        <v>13.912554040261378</v>
      </c>
      <c r="EK30" s="36"/>
      <c r="EL30" s="56">
        <f>'Health - Emissions'!DW29</f>
        <v>7.6035817075116956</v>
      </c>
      <c r="EM30" s="56">
        <f>'Health - Mortality'!AY27</f>
        <v>3987.8807512415142</v>
      </c>
      <c r="EN30" s="56">
        <f>'Health - Emissions'!DN29*'Economic Activity'!$C$3</f>
        <v>206.80726366657086</v>
      </c>
      <c r="EO30" s="36"/>
      <c r="EP30" s="36"/>
      <c r="EQ30" s="36"/>
      <c r="ER30" s="56">
        <f t="shared" si="51"/>
        <v>148211.12915065585</v>
      </c>
      <c r="ES30" s="57">
        <f t="shared" si="28"/>
        <v>27311.8599823039</v>
      </c>
      <c r="ET30" s="28">
        <f>'Capital Cost'!J26</f>
        <v>0</v>
      </c>
      <c r="EU30" s="53">
        <f>'O&amp;M'!$K$10</f>
        <v>6250.6319999999996</v>
      </c>
      <c r="EV30" s="29"/>
      <c r="EW30" s="53">
        <f t="shared" si="66"/>
        <v>6250.6319999999996</v>
      </c>
      <c r="EX30" s="54">
        <f t="shared" si="8"/>
        <v>1151.6738049941914</v>
      </c>
      <c r="EY30" s="26"/>
      <c r="EZ30" s="52">
        <f>('Safety and Crash Costs'!$V$22+'Safety and Crash Costs'!$V$38)/20</f>
        <v>212730</v>
      </c>
      <c r="FA30" s="55">
        <f>'Health - Emissions'!EJ29</f>
        <v>22.992200518429971</v>
      </c>
      <c r="FB30" s="36"/>
      <c r="FC30" s="56">
        <f>'Health - Emissions'!EK29</f>
        <v>12.565850581529212</v>
      </c>
      <c r="FD30" s="56">
        <f>'Health - Mortality'!AZ27</f>
        <v>6590.4616514545769</v>
      </c>
      <c r="FE30" s="56">
        <f>'Health - Emissions'!EB29*'Economic Activity'!$C$3</f>
        <v>341.77434719242115</v>
      </c>
      <c r="FF30" s="36"/>
      <c r="FG30" s="36"/>
      <c r="FH30" s="36"/>
      <c r="FI30" s="56">
        <f t="shared" si="52"/>
        <v>219697.79404974697</v>
      </c>
      <c r="FJ30" s="57">
        <f t="shared" si="30"/>
        <v>40485.88276609849</v>
      </c>
      <c r="FK30" s="28">
        <f>'Capital Cost'!L26</f>
        <v>0</v>
      </c>
      <c r="FL30" s="53">
        <f>'O&amp;M'!$L$10</f>
        <v>7062.8190000000004</v>
      </c>
      <c r="FM30" s="29"/>
      <c r="FN30" s="53">
        <f t="shared" si="67"/>
        <v>7062.8190000000004</v>
      </c>
      <c r="FO30" s="54">
        <f t="shared" si="10"/>
        <v>1301.3185917384467</v>
      </c>
      <c r="FP30" s="26"/>
      <c r="FQ30" s="52">
        <f>('Safety and Crash Costs'!$V$23+'Safety and Crash Costs'!$V$39)/20</f>
        <v>36292.275000000001</v>
      </c>
      <c r="FR30" s="55">
        <f>'Health - Emissions'!EX29</f>
        <v>3.3240877732517564</v>
      </c>
      <c r="FS30" s="36"/>
      <c r="FT30" s="56">
        <f>'Health - Emissions'!EY29</f>
        <v>1.8167025920415036</v>
      </c>
      <c r="FU30" s="56">
        <f>'Health - Mortality'!BA27</f>
        <v>952.8132367375805</v>
      </c>
      <c r="FV30" s="56">
        <f>'Health - Emissions'!EP29*'Economic Activity'!$C$3</f>
        <v>49.411883295066445</v>
      </c>
      <c r="FW30" s="36"/>
      <c r="FX30" s="36"/>
      <c r="FY30" s="36"/>
      <c r="FZ30" s="56">
        <f t="shared" si="53"/>
        <v>37299.640910397946</v>
      </c>
      <c r="GA30" s="57">
        <f t="shared" si="31"/>
        <v>6873.4033020106872</v>
      </c>
      <c r="GB30" s="28">
        <f>'Capital Cost'!M26</f>
        <v>0</v>
      </c>
      <c r="GC30" s="53">
        <f>'O&amp;M'!$M$10</f>
        <v>2523.1620000000003</v>
      </c>
      <c r="GD30" s="29"/>
      <c r="GE30" s="53">
        <f t="shared" si="68"/>
        <v>2523.1620000000003</v>
      </c>
      <c r="GF30" s="54">
        <f t="shared" si="11"/>
        <v>464.89052325536909</v>
      </c>
      <c r="GG30" s="26"/>
      <c r="GH30" s="52">
        <f>('Safety and Crash Costs'!$V$24+'Safety and Crash Costs'!$V$40)/20</f>
        <v>43497.4</v>
      </c>
      <c r="GI30" s="55">
        <f>'Health - Emissions'!FL29</f>
        <v>15.772886829870018</v>
      </c>
      <c r="GJ30" s="36"/>
      <c r="GK30" s="56">
        <f>'Health - Emissions'!FM29</f>
        <v>8.6203031756201263</v>
      </c>
      <c r="GL30" s="56">
        <f>'Health - Mortality'!BB27</f>
        <v>4521.1247049479716</v>
      </c>
      <c r="GM30" s="56">
        <f>'Health - Emissions'!FD29*'Economic Activity'!$C$3</f>
        <v>234.46072920674371</v>
      </c>
      <c r="GN30" s="36"/>
      <c r="GO30" s="36"/>
      <c r="GP30" s="36"/>
      <c r="GQ30" s="56">
        <f t="shared" si="54"/>
        <v>48277.378624160214</v>
      </c>
      <c r="GR30" s="57">
        <f t="shared" si="33"/>
        <v>8899.6943815989944</v>
      </c>
      <c r="GS30" s="28">
        <f>'Capital Cost'!N26</f>
        <v>0</v>
      </c>
      <c r="GT30" s="53">
        <f>'O&amp;M'!$N$10</f>
        <v>4541.6970000000001</v>
      </c>
      <c r="GU30" s="29"/>
      <c r="GV30" s="53">
        <f t="shared" si="69"/>
        <v>4541.6970000000001</v>
      </c>
      <c r="GW30" s="54">
        <f t="shared" si="13"/>
        <v>836.80393680522297</v>
      </c>
      <c r="GX30" s="26"/>
      <c r="GY30" s="52">
        <f>('Safety and Crash Costs'!$V$25+'Safety and Crash Costs'!$V$41)/20</f>
        <v>95168.4</v>
      </c>
      <c r="GZ30" s="55">
        <f>'Health - Emissions'!FZ29</f>
        <v>9.3976704015129293</v>
      </c>
      <c r="HA30" s="36"/>
      <c r="HB30" s="56">
        <f>'Health - Emissions'!GA29</f>
        <v>5.1360774270045777</v>
      </c>
      <c r="HC30" s="56">
        <f>'Health - Mortality'!BC27</f>
        <v>2693.7389635470158</v>
      </c>
      <c r="HD30" s="56">
        <f>'Health - Emissions'!FR29*'Economic Activity'!$C$3</f>
        <v>139.6944439498975</v>
      </c>
      <c r="HE30" s="36"/>
      <c r="HF30" s="36"/>
      <c r="HG30" s="36"/>
      <c r="HH30" s="56">
        <f t="shared" si="55"/>
        <v>98016.36715532541</v>
      </c>
      <c r="HI30" s="57">
        <f t="shared" si="35"/>
        <v>18062.191898766308</v>
      </c>
      <c r="HJ30" s="28">
        <f>'Capital Cost'!O26</f>
        <v>0</v>
      </c>
      <c r="HK30" s="53">
        <f>'O&amp;M'!$O$10</f>
        <v>5217.3509999999997</v>
      </c>
      <c r="HL30" s="29"/>
      <c r="HM30" s="53">
        <f t="shared" si="70"/>
        <v>5217.3509999999997</v>
      </c>
      <c r="HN30" s="54">
        <f t="shared" si="15"/>
        <v>961.29263059483412</v>
      </c>
      <c r="HO30" s="26"/>
      <c r="HP30" s="52">
        <f>('Safety and Crash Costs'!$V$26+'Safety and Crash Costs'!$V$42)/20</f>
        <v>142756.9</v>
      </c>
      <c r="HQ30" s="55">
        <f>'Health - Emissions'!GN29</f>
        <v>28.717569475672292</v>
      </c>
      <c r="HR30" s="36"/>
      <c r="HS30" s="56">
        <f>'Health - Emissions'!GO29</f>
        <v>15.694917361508104</v>
      </c>
      <c r="HT30" s="56">
        <f>'Health - Mortality'!BD27</f>
        <v>8231.5757554694701</v>
      </c>
      <c r="HU30" s="56">
        <f>'Health - Emissions'!GF29*'Economic Activity'!$C$3</f>
        <v>426.88078301306979</v>
      </c>
      <c r="HV30" s="36"/>
      <c r="HW30" s="36"/>
      <c r="HX30" s="36"/>
      <c r="HY30" s="56">
        <f t="shared" si="56"/>
        <v>151459.76902531972</v>
      </c>
      <c r="HZ30" s="57">
        <f t="shared" si="37"/>
        <v>27914.762353184444</v>
      </c>
      <c r="IA30" s="28">
        <f>'Capital Cost'!P26</f>
        <v>0</v>
      </c>
      <c r="IB30" s="53">
        <f>'O&amp;M'!$P$10</f>
        <v>10253.235000000001</v>
      </c>
      <c r="IC30" s="29"/>
      <c r="ID30" s="53">
        <f t="shared" si="71"/>
        <v>10253.235000000001</v>
      </c>
      <c r="IE30" s="54">
        <f t="shared" si="17"/>
        <v>1889.1501156922402</v>
      </c>
      <c r="IF30" s="26"/>
      <c r="IG30" s="52">
        <f>('Safety and Crash Costs'!$V$27+'Safety and Crash Costs'!$V$43)/20</f>
        <v>137635.97500000001</v>
      </c>
      <c r="IH30" s="55">
        <f>'Health - Emissions'!HB29</f>
        <v>30.199126070742036</v>
      </c>
      <c r="II30" s="36"/>
      <c r="IJ30" s="56">
        <f>'Health - Emissions'!HC29</f>
        <v>16.50462754069703</v>
      </c>
      <c r="IK30" s="56">
        <f>'Health - Mortality'!BE27</f>
        <v>8656.2476748205609</v>
      </c>
      <c r="IL30" s="56">
        <f>'Health - Emissions'!GT29*'Economic Activity'!$C$3</f>
        <v>448.90381807240249</v>
      </c>
      <c r="IM30" s="36"/>
      <c r="IN30" s="36"/>
      <c r="IO30" s="36"/>
      <c r="IP30" s="56">
        <f t="shared" si="57"/>
        <v>146787.83024650443</v>
      </c>
      <c r="IQ30" s="57">
        <f t="shared" si="39"/>
        <v>27054.396099850361</v>
      </c>
      <c r="IR30" s="28">
        <f>'Capital Cost'!Q26</f>
        <v>0</v>
      </c>
      <c r="IS30" s="53">
        <f>'O&amp;M'!$Q$10</f>
        <v>9677.1810000000005</v>
      </c>
      <c r="IT30" s="29"/>
      <c r="IU30" s="53">
        <f t="shared" si="72"/>
        <v>9677.1810000000005</v>
      </c>
      <c r="IV30" s="54">
        <f t="shared" si="19"/>
        <v>1783.0126399838441</v>
      </c>
      <c r="IW30" s="26"/>
    </row>
    <row r="31" spans="1:257" x14ac:dyDescent="0.3">
      <c r="A31">
        <v>26</v>
      </c>
      <c r="B31" s="34">
        <v>2047</v>
      </c>
      <c r="C31" s="52">
        <f>('Safety and Crash Costs'!$V$13+'Safety and Crash Costs'!$V$29)/20</f>
        <v>435297.07500000001</v>
      </c>
      <c r="D31" s="55">
        <f>'Health - Emissions'!N30</f>
        <v>108.00509670923611</v>
      </c>
      <c r="E31" s="35"/>
      <c r="F31" s="56">
        <f>'Health - Emissions'!O30</f>
        <v>58.333221773918048</v>
      </c>
      <c r="G31" s="56">
        <f>'Health - Mortality'!AQ28</f>
        <v>30594.25691977446</v>
      </c>
      <c r="H31" s="56">
        <f>'Health - Emissions'!F30*'Economic Activity'!$C$3</f>
        <v>1586.5856960544363</v>
      </c>
      <c r="I31" s="35"/>
      <c r="J31" s="36"/>
      <c r="K31" s="36"/>
      <c r="L31" s="56">
        <f t="shared" si="40"/>
        <v>467644.25593431207</v>
      </c>
      <c r="M31" s="57">
        <f t="shared" si="43"/>
        <v>80557.716607581315</v>
      </c>
      <c r="N31" s="28">
        <f>'Capital Cost'!C27</f>
        <v>0</v>
      </c>
      <c r="O31" s="53">
        <f>'O&amp;M'!$C$10</f>
        <v>12525.21</v>
      </c>
      <c r="P31" s="29"/>
      <c r="Q31" s="53">
        <f t="shared" si="58"/>
        <v>12525.21</v>
      </c>
      <c r="R31" s="54">
        <f t="shared" si="41"/>
        <v>2156.784711021804</v>
      </c>
      <c r="S31" s="26"/>
      <c r="T31" s="52">
        <f>('Safety and Crash Costs'!$V$14+'Safety and Crash Costs'!$V$30)/20</f>
        <v>181788.7</v>
      </c>
      <c r="U31" s="55">
        <f>'Health - Emissions'!AB30</f>
        <v>19.682659638863925</v>
      </c>
      <c r="V31" s="35"/>
      <c r="W31" s="56">
        <f>'Health - Emissions'!AC30</f>
        <v>10.630544157609279</v>
      </c>
      <c r="X31" s="56">
        <f>'Health - Mortality'!AR28</f>
        <v>5575.4437911112273</v>
      </c>
      <c r="Y31" s="56">
        <f>'Health - Emissions'!T30*'Economic Activity'!$C$3</f>
        <v>289.13659813110451</v>
      </c>
      <c r="Z31" s="35"/>
      <c r="AA31" s="36"/>
      <c r="AB31" s="36"/>
      <c r="AC31" s="56">
        <f t="shared" si="44"/>
        <v>187683.59359303882</v>
      </c>
      <c r="AD31" s="57">
        <f t="shared" si="21"/>
        <v>32324.006409128066</v>
      </c>
      <c r="AE31" s="28">
        <f>'Capital Cost'!D27</f>
        <v>0</v>
      </c>
      <c r="AF31" s="53">
        <f>'O&amp;M'!$D$10</f>
        <v>4532.2169999999996</v>
      </c>
      <c r="AG31" s="29"/>
      <c r="AH31" s="53">
        <f t="shared" si="59"/>
        <v>4532.2169999999996</v>
      </c>
      <c r="AI31" s="54">
        <f t="shared" si="42"/>
        <v>780.42734074982434</v>
      </c>
      <c r="AJ31" s="26"/>
      <c r="AK31" s="52">
        <f>('Safety and Crash Costs'!$V$15+'Safety and Crash Costs'!$V$31)/20</f>
        <v>164338.04999999999</v>
      </c>
      <c r="AL31" s="55">
        <f>'Health - Emissions'!AP30</f>
        <v>14.957543231217764</v>
      </c>
      <c r="AM31" s="36"/>
      <c r="AN31" s="56">
        <f>'Health - Emissions'!AQ30</f>
        <v>8.0785232649579068</v>
      </c>
      <c r="AO31" s="56">
        <f>'Health - Mortality'!AS28</f>
        <v>4236.9752395710457</v>
      </c>
      <c r="AP31" s="56">
        <f>'Health - Emissions'!AH30*'Economic Activity'!$C$3</f>
        <v>219.72503948266501</v>
      </c>
      <c r="AQ31" s="35"/>
      <c r="AR31" s="36"/>
      <c r="AS31" s="36"/>
      <c r="AT31" s="56">
        <f t="shared" si="73"/>
        <v>168817.78634554989</v>
      </c>
      <c r="AU31" s="57">
        <f t="shared" si="22"/>
        <v>29074.022061272524</v>
      </c>
      <c r="AV31" s="28">
        <f>'Capital Cost'!I27</f>
        <v>0</v>
      </c>
      <c r="AW31" s="53">
        <f>'O&amp;M'!$E$10</f>
        <v>8343.6509999999998</v>
      </c>
      <c r="AX31" s="29"/>
      <c r="AY31" s="53">
        <f t="shared" si="60"/>
        <v>8343.6509999999998</v>
      </c>
      <c r="AZ31" s="54">
        <f t="shared" si="0"/>
        <v>1436.739097460385</v>
      </c>
      <c r="BA31" s="26"/>
      <c r="BB31" s="52">
        <f>('Safety and Crash Costs'!$V$16+'Safety and Crash Costs'!$V$32)/20</f>
        <v>24774.025000000001</v>
      </c>
      <c r="BC31" s="55">
        <f>'Health - Emissions'!BD30</f>
        <v>5.5090050058098621</v>
      </c>
      <c r="BD31" s="36"/>
      <c r="BE31" s="56">
        <f>'Health - Emissions'!BE30</f>
        <v>2.9753967224590268</v>
      </c>
      <c r="BF31" s="56">
        <f>'Health - Mortality'!AT28</f>
        <v>1560.5181575255922</v>
      </c>
      <c r="BG31" s="56">
        <f>'Health - Emissions'!AV30*'Economic Activity'!$C$3</f>
        <v>80.926815567239473</v>
      </c>
      <c r="BH31" s="36"/>
      <c r="BI31" s="36"/>
      <c r="BJ31" s="36"/>
      <c r="BK31" s="56">
        <f t="shared" si="46"/>
        <v>26423.954374821104</v>
      </c>
      <c r="BL31" s="57">
        <f t="shared" si="23"/>
        <v>4551.6917216257361</v>
      </c>
      <c r="BM31" s="28">
        <f>'Capital Cost'!H27</f>
        <v>0</v>
      </c>
      <c r="BN31" s="53">
        <f>'O&amp;M'!$F$10</f>
        <v>2683.1880000000001</v>
      </c>
      <c r="BO31" s="29"/>
      <c r="BP31" s="53">
        <f t="shared" si="61"/>
        <v>2683.1880000000001</v>
      </c>
      <c r="BQ31" s="54">
        <f t="shared" si="1"/>
        <v>462.03288050237666</v>
      </c>
      <c r="BR31" s="26"/>
      <c r="BS31" s="52">
        <f>('Safety and Crash Costs'!$V$17+'Safety and Crash Costs'!$V$33)/20</f>
        <v>127904.325</v>
      </c>
      <c r="BT31" s="55">
        <f>'Health - Emissions'!BR30</f>
        <v>4.6865969573956221</v>
      </c>
      <c r="BU31" s="36"/>
      <c r="BV31" s="56">
        <f>'Health - Emissions'!BS30</f>
        <v>2.5312166556057512</v>
      </c>
      <c r="BW31" s="56">
        <f>'Health - Mortality'!AU28</f>
        <v>1327.5572705610427</v>
      </c>
      <c r="BX31" s="56">
        <f>'Health - Emissions'!BJ30*'Economic Activity'!$C$3</f>
        <v>68.845711196333468</v>
      </c>
      <c r="BY31" s="36"/>
      <c r="BZ31" s="36"/>
      <c r="CA31" s="36"/>
      <c r="CB31" s="56">
        <f t="shared" si="47"/>
        <v>129307.94579537038</v>
      </c>
      <c r="CC31" s="57">
        <f t="shared" si="24"/>
        <v>22267.611615955368</v>
      </c>
      <c r="CD31" s="28">
        <f>'Capital Cost'!G27</f>
        <v>0</v>
      </c>
      <c r="CE31" s="53">
        <f>'O&amp;M'!$G$10</f>
        <v>4052.67</v>
      </c>
      <c r="CF31" s="29"/>
      <c r="CG31" s="53">
        <f t="shared" si="62"/>
        <v>4052.67</v>
      </c>
      <c r="CH31" s="54">
        <f t="shared" si="2"/>
        <v>697.85150866266804</v>
      </c>
      <c r="CI31" s="26"/>
      <c r="CJ31" s="52">
        <f>('Safety and Crash Costs'!$V$18+'Safety and Crash Costs'!$V$34)/20</f>
        <v>11114.924999999999</v>
      </c>
      <c r="CK31" s="55">
        <f>'Health - Emissions'!CF30</f>
        <v>2.4208144399125113</v>
      </c>
      <c r="CL31" s="36"/>
      <c r="CM31" s="56">
        <f>'Health - Emissions'!CG30</f>
        <v>1.3074744609236921</v>
      </c>
      <c r="CN31" s="56">
        <f>'Health - Mortality'!AV28</f>
        <v>685.7363326952119</v>
      </c>
      <c r="CO31" s="56">
        <f>'Health - Emissions'!BX30*'Economic Activity'!$C$3</f>
        <v>35.561558483737471</v>
      </c>
      <c r="CP31" s="36"/>
      <c r="CQ31" s="36"/>
      <c r="CR31" s="36"/>
      <c r="CS31" s="56">
        <f t="shared" si="48"/>
        <v>11839.951180079786</v>
      </c>
      <c r="CT31" s="57">
        <f t="shared" si="25"/>
        <v>2039.4918962411309</v>
      </c>
      <c r="CU31" s="28">
        <f>'Capital Cost'!F27</f>
        <v>0</v>
      </c>
      <c r="CV31" s="53">
        <f>'O&amp;M'!$H$10</f>
        <v>1817.1089999999999</v>
      </c>
      <c r="CW31" s="29"/>
      <c r="CX31" s="53">
        <f t="shared" si="63"/>
        <v>1817.1089999999999</v>
      </c>
      <c r="CY31" s="54">
        <f t="shared" si="4"/>
        <v>312.89798011052267</v>
      </c>
      <c r="CZ31" s="26"/>
      <c r="DA31" s="52">
        <f>('Safety and Crash Costs'!$V$19+'Safety and Crash Costs'!$V$35)/20</f>
        <v>437404.52500000002</v>
      </c>
      <c r="DB31" s="55">
        <f>'Health - Emissions'!CT30</f>
        <v>106.77719229336522</v>
      </c>
      <c r="DC31" s="36"/>
      <c r="DD31" s="56">
        <f>'Health - Emissions'!CU30</f>
        <v>57.670034361559154</v>
      </c>
      <c r="DE31" s="56">
        <f>'Health - Mortality'!AW28</f>
        <v>30246.432378926958</v>
      </c>
      <c r="DF31" s="56">
        <f>'Health - Emissions'!CL30*'Economic Activity'!$C$3</f>
        <v>1568.5478844908987</v>
      </c>
      <c r="DG31" s="36"/>
      <c r="DH31" s="36"/>
      <c r="DI31" s="36"/>
      <c r="DJ31" s="56">
        <f t="shared" si="49"/>
        <v>469383.95249007281</v>
      </c>
      <c r="DK31" s="57">
        <f t="shared" si="26"/>
        <v>80856.926580493688</v>
      </c>
      <c r="DL31" s="28">
        <f>'Capital Cost'!E27</f>
        <v>0</v>
      </c>
      <c r="DM31" s="53">
        <f>'O&amp;M'!$I$10</f>
        <v>12625.473</v>
      </c>
      <c r="DN31" s="29"/>
      <c r="DO31" s="53">
        <f t="shared" si="64"/>
        <v>12625.473</v>
      </c>
      <c r="DP31" s="54">
        <f t="shared" si="5"/>
        <v>2174.0495477376103</v>
      </c>
      <c r="DQ31" s="26"/>
      <c r="DR31" s="52">
        <f>('Safety and Crash Costs'!$V$20+'Safety and Crash Costs'!$V$36)/20</f>
        <v>338656.9</v>
      </c>
      <c r="DS31" s="55">
        <f>'Health - Emissions'!DH30</f>
        <v>38.993287219633316</v>
      </c>
      <c r="DT31" s="36"/>
      <c r="DU31" s="56">
        <f>'Health - Emissions'!DI30</f>
        <v>21.060154940655135</v>
      </c>
      <c r="DV31" s="56">
        <f>'Health - Mortality'!AX28</f>
        <v>11045.503255792208</v>
      </c>
      <c r="DW31" s="56">
        <f>'Health - Emissions'!CZ30*'Economic Activity'!$C$3</f>
        <v>572.80807693144698</v>
      </c>
      <c r="DX31" s="36"/>
      <c r="DY31" s="36"/>
      <c r="DZ31" s="36"/>
      <c r="EA31" s="56">
        <f t="shared" si="50"/>
        <v>350335.26477488392</v>
      </c>
      <c r="EB31" s="57">
        <f t="shared" si="27"/>
        <v>60337.520150576427</v>
      </c>
      <c r="EC31" s="28">
        <f>'Capital Cost'!K27</f>
        <v>0</v>
      </c>
      <c r="ED31" s="53">
        <f>'O&amp;M'!$J$10</f>
        <v>6594.4049999999997</v>
      </c>
      <c r="EE31" s="29"/>
      <c r="EF31" s="53">
        <f t="shared" si="65"/>
        <v>6594.4049999999997</v>
      </c>
      <c r="EG31" s="54">
        <f t="shared" si="7"/>
        <v>1135.5268200920975</v>
      </c>
      <c r="EH31" s="26"/>
      <c r="EI31" s="52">
        <f>('Safety and Crash Costs'!$V$21+'Safety and Crash Costs'!$V$37)/20</f>
        <v>143994.92499999999</v>
      </c>
      <c r="EJ31" s="55">
        <f>'Health - Emissions'!DV30</f>
        <v>15.227150763967957</v>
      </c>
      <c r="EK31" s="36"/>
      <c r="EL31" s="56">
        <f>'Health - Emissions'!DW30</f>
        <v>8.2241374672411123</v>
      </c>
      <c r="EM31" s="56">
        <f>'Health - Mortality'!AY28</f>
        <v>4313.3460996117701</v>
      </c>
      <c r="EN31" s="56">
        <f>'Health - Emissions'!DN30*'Economic Activity'!$C$3</f>
        <v>223.68555123667565</v>
      </c>
      <c r="EO31" s="36"/>
      <c r="EP31" s="36"/>
      <c r="EQ31" s="36"/>
      <c r="ER31" s="56">
        <f t="shared" si="51"/>
        <v>148555.40793907965</v>
      </c>
      <c r="ES31" s="57">
        <f t="shared" si="28"/>
        <v>25585.010412375443</v>
      </c>
      <c r="ET31" s="28">
        <f>'Capital Cost'!J27</f>
        <v>0</v>
      </c>
      <c r="EU31" s="53">
        <f>'O&amp;M'!$K$10</f>
        <v>6250.6319999999996</v>
      </c>
      <c r="EV31" s="29"/>
      <c r="EW31" s="53">
        <f t="shared" si="66"/>
        <v>6250.6319999999996</v>
      </c>
      <c r="EX31" s="54">
        <f t="shared" si="8"/>
        <v>1076.3306588730761</v>
      </c>
      <c r="EY31" s="26"/>
      <c r="EZ31" s="52">
        <f>('Safety and Crash Costs'!$V$22+'Safety and Crash Costs'!$V$38)/20</f>
        <v>212730</v>
      </c>
      <c r="FA31" s="55">
        <f>'Health - Emissions'!EJ30</f>
        <v>25.164732706615084</v>
      </c>
      <c r="FB31" s="36"/>
      <c r="FC31" s="56">
        <f>'Health - Emissions'!EK30</f>
        <v>13.591395022850019</v>
      </c>
      <c r="FD31" s="56">
        <f>'Health - Mortality'!AZ28</f>
        <v>7128.3330250265399</v>
      </c>
      <c r="FE31" s="56">
        <f>'Health - Emissions'!EB30*'Economic Activity'!$C$3</f>
        <v>369.66778581602284</v>
      </c>
      <c r="FF31" s="36"/>
      <c r="FG31" s="36"/>
      <c r="FH31" s="36"/>
      <c r="FI31" s="56">
        <f t="shared" si="52"/>
        <v>220266.75693857201</v>
      </c>
      <c r="FJ31" s="57">
        <f t="shared" si="30"/>
        <v>37936.278305386717</v>
      </c>
      <c r="FK31" s="28">
        <f>'Capital Cost'!L27</f>
        <v>0</v>
      </c>
      <c r="FL31" s="53">
        <f>'O&amp;M'!$L$10</f>
        <v>7062.8190000000004</v>
      </c>
      <c r="FM31" s="29"/>
      <c r="FN31" s="53">
        <f t="shared" si="67"/>
        <v>7062.8190000000004</v>
      </c>
      <c r="FO31" s="54">
        <f t="shared" si="10"/>
        <v>1216.1855997555579</v>
      </c>
      <c r="FP31" s="26"/>
      <c r="FQ31" s="52">
        <f>('Safety and Crash Costs'!$V$23+'Safety and Crash Costs'!$V$39)/20</f>
        <v>36292.275000000001</v>
      </c>
      <c r="FR31" s="55">
        <f>'Health - Emissions'!EX30</f>
        <v>3.6381807056769628</v>
      </c>
      <c r="FS31" s="36"/>
      <c r="FT31" s="56">
        <f>'Health - Emissions'!EY30</f>
        <v>1.9649702507020232</v>
      </c>
      <c r="FU31" s="56">
        <f>'Health - Mortality'!BA28</f>
        <v>1030.5757656020767</v>
      </c>
      <c r="FV31" s="56">
        <f>'Health - Emissions'!EP30*'Economic Activity'!$C$3</f>
        <v>53.444565517385293</v>
      </c>
      <c r="FW31" s="36"/>
      <c r="FX31" s="36"/>
      <c r="FY31" s="36"/>
      <c r="FZ31" s="56">
        <f t="shared" si="53"/>
        <v>37381.898482075841</v>
      </c>
      <c r="GA31" s="57">
        <f t="shared" si="31"/>
        <v>6438.0549657150204</v>
      </c>
      <c r="GB31" s="28">
        <f>'Capital Cost'!M27</f>
        <v>0</v>
      </c>
      <c r="GC31" s="53">
        <f>'O&amp;M'!$M$10</f>
        <v>2523.1620000000003</v>
      </c>
      <c r="GD31" s="29"/>
      <c r="GE31" s="53">
        <f t="shared" si="68"/>
        <v>2523.1620000000003</v>
      </c>
      <c r="GF31" s="54">
        <f t="shared" si="11"/>
        <v>434.47712453772817</v>
      </c>
      <c r="GG31" s="26"/>
      <c r="GH31" s="52">
        <f>('Safety and Crash Costs'!$V$24+'Safety and Crash Costs'!$V$40)/20</f>
        <v>43497.4</v>
      </c>
      <c r="GI31" s="55">
        <f>'Health - Emissions'!FL30</f>
        <v>17.263266330998061</v>
      </c>
      <c r="GJ31" s="36"/>
      <c r="GK31" s="56">
        <f>'Health - Emissions'!FM30</f>
        <v>9.3238372457492229</v>
      </c>
      <c r="GL31" s="56">
        <f>'Health - Mortality'!BB28</f>
        <v>4890.1100179273417</v>
      </c>
      <c r="GM31" s="56">
        <f>'Health - Emissions'!FD30*'Economic Activity'!$C$3</f>
        <v>253.59591595641277</v>
      </c>
      <c r="GN31" s="36"/>
      <c r="GO31" s="36"/>
      <c r="GP31" s="36"/>
      <c r="GQ31" s="56">
        <f t="shared" si="54"/>
        <v>48667.693037460507</v>
      </c>
      <c r="GR31" s="57">
        <f t="shared" si="33"/>
        <v>8385.3896252340801</v>
      </c>
      <c r="GS31" s="28">
        <f>'Capital Cost'!N27</f>
        <v>0</v>
      </c>
      <c r="GT31" s="53">
        <f>'O&amp;M'!$N$10</f>
        <v>4541.6970000000001</v>
      </c>
      <c r="GU31" s="29"/>
      <c r="GV31" s="53">
        <f t="shared" si="69"/>
        <v>4541.6970000000001</v>
      </c>
      <c r="GW31" s="54">
        <f t="shared" si="13"/>
        <v>782.05975402357296</v>
      </c>
      <c r="GX31" s="26"/>
      <c r="GY31" s="52">
        <f>('Safety and Crash Costs'!$V$25+'Safety and Crash Costs'!$V$41)/20</f>
        <v>95168.4</v>
      </c>
      <c r="GZ31" s="55">
        <f>'Health - Emissions'!FZ30</f>
        <v>10.285655934906126</v>
      </c>
      <c r="HA31" s="36"/>
      <c r="HB31" s="56">
        <f>'Health - Emissions'!GA30</f>
        <v>5.5552512522289756</v>
      </c>
      <c r="HC31" s="56">
        <f>'Health - Mortality'!BC28</f>
        <v>2913.5847274697253</v>
      </c>
      <c r="HD31" s="56">
        <f>'Health - Emissions'!FR30*'Economic Activity'!$C$3</f>
        <v>151.09541195812795</v>
      </c>
      <c r="HE31" s="36"/>
      <c r="HF31" s="36"/>
      <c r="HG31" s="36"/>
      <c r="HH31" s="56">
        <f t="shared" si="55"/>
        <v>98248.921046614982</v>
      </c>
      <c r="HI31" s="57">
        <f t="shared" si="35"/>
        <v>16921.019658294408</v>
      </c>
      <c r="HJ31" s="28">
        <f>'Capital Cost'!O27</f>
        <v>0</v>
      </c>
      <c r="HK31" s="53">
        <f>'O&amp;M'!$O$10</f>
        <v>5217.3509999999997</v>
      </c>
      <c r="HL31" s="29"/>
      <c r="HM31" s="53">
        <f t="shared" si="70"/>
        <v>5217.3509999999997</v>
      </c>
      <c r="HN31" s="54">
        <f t="shared" si="15"/>
        <v>898.40432765872356</v>
      </c>
      <c r="HO31" s="26"/>
      <c r="HP31" s="52">
        <f>('Safety and Crash Costs'!$V$26+'Safety and Crash Costs'!$V$42)/20</f>
        <v>142756.9</v>
      </c>
      <c r="HQ31" s="55">
        <f>'Health - Emissions'!GN30</f>
        <v>31.431091567754333</v>
      </c>
      <c r="HR31" s="36"/>
      <c r="HS31" s="56">
        <f>'Health - Emissions'!GO30</f>
        <v>16.975836241821987</v>
      </c>
      <c r="HT31" s="56">
        <f>'Health - Mortality'!BD28</f>
        <v>8903.3843771430093</v>
      </c>
      <c r="HU31" s="56">
        <f>'Health - Emissions'!GF30*'Economic Activity'!$C$3</f>
        <v>461.72006518384734</v>
      </c>
      <c r="HV31" s="36"/>
      <c r="HW31" s="36"/>
      <c r="HX31" s="36"/>
      <c r="HY31" s="56">
        <f t="shared" si="56"/>
        <v>152170.41137013643</v>
      </c>
      <c r="HZ31" s="57">
        <f t="shared" si="37"/>
        <v>26212.221146763313</v>
      </c>
      <c r="IA31" s="28">
        <f>'Capital Cost'!P27</f>
        <v>0</v>
      </c>
      <c r="IB31" s="53">
        <f>'O&amp;M'!$P$10</f>
        <v>10253.235000000001</v>
      </c>
      <c r="IC31" s="29"/>
      <c r="ID31" s="53">
        <f t="shared" si="71"/>
        <v>10253.235000000001</v>
      </c>
      <c r="IE31" s="54">
        <f t="shared" si="17"/>
        <v>1765.5608557871406</v>
      </c>
      <c r="IF31" s="26"/>
      <c r="IG31" s="52">
        <f>('Safety and Crash Costs'!$V$27+'Safety and Crash Costs'!$V$43)/20</f>
        <v>137635.97500000001</v>
      </c>
      <c r="IH31" s="55">
        <f>'Health - Emissions'!HB30</f>
        <v>33.05264039144209</v>
      </c>
      <c r="II31" s="36"/>
      <c r="IJ31" s="56">
        <f>'Health - Emissions'!HC30</f>
        <v>17.851629792602864</v>
      </c>
      <c r="IK31" s="56">
        <f>'Health - Mortality'!BE28</f>
        <v>9362.7153053252059</v>
      </c>
      <c r="IL31" s="56">
        <f>'Health - Emissions'!GT30*'Economic Activity'!$C$3</f>
        <v>485.54047965968459</v>
      </c>
      <c r="IM31" s="36"/>
      <c r="IN31" s="36"/>
      <c r="IO31" s="36"/>
      <c r="IP31" s="56">
        <f t="shared" si="57"/>
        <v>147535.13505516894</v>
      </c>
      <c r="IQ31" s="57">
        <f t="shared" si="39"/>
        <v>25414.52013670393</v>
      </c>
      <c r="IR31" s="28">
        <f>'Capital Cost'!Q27</f>
        <v>0</v>
      </c>
      <c r="IS31" s="53">
        <f>'O&amp;M'!$Q$10</f>
        <v>9677.1810000000005</v>
      </c>
      <c r="IT31" s="29"/>
      <c r="IU31" s="53">
        <f t="shared" si="72"/>
        <v>9677.1810000000005</v>
      </c>
      <c r="IV31" s="54">
        <f t="shared" si="19"/>
        <v>1666.366953255929</v>
      </c>
      <c r="IW31" s="26"/>
    </row>
    <row r="32" spans="1:257" x14ac:dyDescent="0.3">
      <c r="B32" s="10" t="s">
        <v>22</v>
      </c>
      <c r="C32" s="58">
        <f t="shared" ref="C32:R32" si="74">SUM(C6:C31)</f>
        <v>8705941.5000000019</v>
      </c>
      <c r="D32" s="58">
        <f t="shared" si="74"/>
        <v>868.06365787455547</v>
      </c>
      <c r="E32" s="58">
        <f t="shared" si="74"/>
        <v>0</v>
      </c>
      <c r="F32" s="58">
        <f t="shared" si="74"/>
        <v>509.82116512641164</v>
      </c>
      <c r="G32" s="58">
        <f t="shared" si="74"/>
        <v>267441.84841307194</v>
      </c>
      <c r="H32" s="58">
        <f t="shared" si="74"/>
        <v>13869.250439100611</v>
      </c>
      <c r="I32" s="58">
        <f t="shared" si="74"/>
        <v>0</v>
      </c>
      <c r="J32" s="58">
        <f t="shared" si="74"/>
        <v>0</v>
      </c>
      <c r="K32" s="58">
        <f t="shared" si="74"/>
        <v>0</v>
      </c>
      <c r="L32" s="58">
        <f t="shared" si="74"/>
        <v>8988630.4836751726</v>
      </c>
      <c r="M32" s="58">
        <f t="shared" si="74"/>
        <v>3147673.0145951691</v>
      </c>
      <c r="N32" s="58">
        <f t="shared" si="74"/>
        <v>1725210</v>
      </c>
      <c r="O32" s="58">
        <f t="shared" si="74"/>
        <v>250504.1999999999</v>
      </c>
      <c r="P32" s="58">
        <f t="shared" si="74"/>
        <v>0</v>
      </c>
      <c r="Q32" s="58">
        <f t="shared" si="74"/>
        <v>1975714.1999999993</v>
      </c>
      <c r="R32" s="58">
        <f t="shared" si="74"/>
        <v>1237998.7190097286</v>
      </c>
      <c r="S32" s="110">
        <f>M32/R32</f>
        <v>2.5425494923879914</v>
      </c>
      <c r="T32" s="58">
        <f t="shared" ref="T32:AI32" si="75">SUM(T6:T31)</f>
        <v>3635774.0000000014</v>
      </c>
      <c r="U32" s="58">
        <f t="shared" si="75"/>
        <v>158.1944004810191</v>
      </c>
      <c r="V32" s="58">
        <f t="shared" si="75"/>
        <v>0</v>
      </c>
      <c r="W32" s="58">
        <f t="shared" si="75"/>
        <v>92.90891611241976</v>
      </c>
      <c r="X32" s="58">
        <f t="shared" si="75"/>
        <v>48738.13399449495</v>
      </c>
      <c r="Y32" s="58">
        <f t="shared" si="75"/>
        <v>2527.5079061675151</v>
      </c>
      <c r="Z32" s="58">
        <f t="shared" si="75"/>
        <v>0</v>
      </c>
      <c r="AA32" s="58">
        <f t="shared" si="75"/>
        <v>0</v>
      </c>
      <c r="AB32" s="58">
        <f t="shared" si="75"/>
        <v>0</v>
      </c>
      <c r="AC32" s="58">
        <f t="shared" si="75"/>
        <v>3687290.7452172553</v>
      </c>
      <c r="AD32" s="58">
        <f t="shared" si="75"/>
        <v>1296921.9684732768</v>
      </c>
      <c r="AE32" s="58">
        <f t="shared" si="75"/>
        <v>572217</v>
      </c>
      <c r="AF32" s="58">
        <f t="shared" si="75"/>
        <v>90644.34</v>
      </c>
      <c r="AG32" s="58">
        <f t="shared" si="75"/>
        <v>0</v>
      </c>
      <c r="AH32" s="58">
        <f t="shared" si="75"/>
        <v>662861.33999999892</v>
      </c>
      <c r="AI32" s="58">
        <f t="shared" si="75"/>
        <v>413286.35134060163</v>
      </c>
      <c r="AJ32" s="110">
        <f>AD32/AI32</f>
        <v>3.1380711321977452</v>
      </c>
      <c r="AK32" s="111">
        <f t="shared" ref="AK32:AZ32" si="76">SUM(AK6:AK31)</f>
        <v>3286760.9999999991</v>
      </c>
      <c r="AL32" s="111">
        <f t="shared" si="76"/>
        <v>120.21747200562749</v>
      </c>
      <c r="AM32" s="111">
        <f t="shared" si="76"/>
        <v>0</v>
      </c>
      <c r="AN32" s="111">
        <f t="shared" si="76"/>
        <v>70.604743201123313</v>
      </c>
      <c r="AO32" s="111">
        <f t="shared" si="76"/>
        <v>37037.81702306668</v>
      </c>
      <c r="AP32" s="111">
        <f t="shared" si="76"/>
        <v>1920.7418848567449</v>
      </c>
      <c r="AQ32" s="111">
        <f t="shared" si="76"/>
        <v>0</v>
      </c>
      <c r="AR32" s="111">
        <f t="shared" si="76"/>
        <v>0</v>
      </c>
      <c r="AS32" s="111">
        <f t="shared" si="76"/>
        <v>0</v>
      </c>
      <c r="AT32" s="111">
        <f t="shared" si="76"/>
        <v>3325910.3811231302</v>
      </c>
      <c r="AU32" s="111">
        <f t="shared" si="76"/>
        <v>1170461.0734772121</v>
      </c>
      <c r="AV32" s="111">
        <f t="shared" si="76"/>
        <v>745473</v>
      </c>
      <c r="AW32" s="111">
        <f t="shared" si="76"/>
        <v>166873.02000000005</v>
      </c>
      <c r="AX32" s="111">
        <f t="shared" si="76"/>
        <v>0</v>
      </c>
      <c r="AY32" s="111">
        <f t="shared" si="76"/>
        <v>912346.01999999909</v>
      </c>
      <c r="AZ32" s="111">
        <f t="shared" si="76"/>
        <v>555639.96325271693</v>
      </c>
      <c r="BA32" s="110">
        <f>AU32/AZ32</f>
        <v>2.1065098820922308</v>
      </c>
      <c r="BB32" s="111">
        <f t="shared" ref="BB32:BQ32" si="77">SUM(BB6:BB31)</f>
        <v>495480.50000000017</v>
      </c>
      <c r="BC32" s="111">
        <f t="shared" si="77"/>
        <v>44.277234892597413</v>
      </c>
      <c r="BD32" s="111">
        <f t="shared" si="77"/>
        <v>0</v>
      </c>
      <c r="BE32" s="111">
        <f t="shared" si="77"/>
        <v>26.004396425016481</v>
      </c>
      <c r="BF32" s="111">
        <f t="shared" si="77"/>
        <v>13641.379217844476</v>
      </c>
      <c r="BG32" s="111">
        <f t="shared" si="77"/>
        <v>707.42744947981737</v>
      </c>
      <c r="BH32" s="111">
        <f t="shared" si="77"/>
        <v>0</v>
      </c>
      <c r="BI32" s="111">
        <f t="shared" si="77"/>
        <v>0</v>
      </c>
      <c r="BJ32" s="111">
        <f t="shared" si="77"/>
        <v>0</v>
      </c>
      <c r="BK32" s="111">
        <f t="shared" si="77"/>
        <v>509899.58829864196</v>
      </c>
      <c r="BL32" s="111">
        <f t="shared" si="77"/>
        <v>178701.26577731353</v>
      </c>
      <c r="BM32" s="111">
        <f t="shared" si="77"/>
        <v>377109</v>
      </c>
      <c r="BN32" s="111">
        <f t="shared" si="77"/>
        <v>53663.760000000024</v>
      </c>
      <c r="BO32" s="111">
        <f t="shared" si="77"/>
        <v>0</v>
      </c>
      <c r="BP32" s="111">
        <f t="shared" si="77"/>
        <v>430772.76000000047</v>
      </c>
      <c r="BQ32" s="111">
        <f t="shared" si="77"/>
        <v>270224.9150860128</v>
      </c>
      <c r="BR32" s="110">
        <f>BL32/BQ32</f>
        <v>0.66130565984425527</v>
      </c>
      <c r="BS32" s="111">
        <f t="shared" ref="BS32:CH32" si="78">SUM(BS6:BS31)</f>
        <v>2558086.5</v>
      </c>
      <c r="BT32" s="111">
        <f t="shared" si="78"/>
        <v>37.667338132874498</v>
      </c>
      <c r="BU32" s="111">
        <f t="shared" si="78"/>
        <v>0</v>
      </c>
      <c r="BV32" s="111">
        <f t="shared" si="78"/>
        <v>22.122347871505657</v>
      </c>
      <c r="BW32" s="111">
        <f t="shared" si="78"/>
        <v>11604.935241410512</v>
      </c>
      <c r="BX32" s="111">
        <f t="shared" si="78"/>
        <v>601.81962601481905</v>
      </c>
      <c r="BY32" s="111">
        <f t="shared" si="78"/>
        <v>0</v>
      </c>
      <c r="BZ32" s="111">
        <f t="shared" si="78"/>
        <v>0</v>
      </c>
      <c r="CA32" s="111">
        <f t="shared" si="78"/>
        <v>0</v>
      </c>
      <c r="CB32" s="111">
        <f t="shared" si="78"/>
        <v>2570353.0445534298</v>
      </c>
      <c r="CC32" s="111">
        <f t="shared" si="78"/>
        <v>906153.10819209507</v>
      </c>
      <c r="CD32" s="111">
        <f t="shared" si="78"/>
        <v>452670</v>
      </c>
      <c r="CE32" s="111">
        <f t="shared" si="78"/>
        <v>81053.39999999998</v>
      </c>
      <c r="CF32" s="111">
        <f t="shared" si="78"/>
        <v>0</v>
      </c>
      <c r="CG32" s="111">
        <f t="shared" si="78"/>
        <v>533723.39999999979</v>
      </c>
      <c r="CH32" s="111">
        <f t="shared" si="78"/>
        <v>330241.90061976068</v>
      </c>
      <c r="CI32" s="110">
        <f>CC32/CH32</f>
        <v>2.7439071374393418</v>
      </c>
      <c r="CJ32" s="111">
        <f t="shared" ref="CJ32:CY32" si="79">SUM(CJ6:CJ31)</f>
        <v>222298.49999999991</v>
      </c>
      <c r="CK32" s="111">
        <f t="shared" si="79"/>
        <v>19.456684006341838</v>
      </c>
      <c r="CL32" s="111">
        <f t="shared" si="79"/>
        <v>0</v>
      </c>
      <c r="CM32" s="111">
        <f t="shared" si="79"/>
        <v>11.427075905812284</v>
      </c>
      <c r="CN32" s="111">
        <f t="shared" si="79"/>
        <v>5994.4123768364016</v>
      </c>
      <c r="CO32" s="111">
        <f t="shared" si="79"/>
        <v>310.86386436119471</v>
      </c>
      <c r="CP32" s="111">
        <f t="shared" si="79"/>
        <v>0</v>
      </c>
      <c r="CQ32" s="111">
        <f t="shared" si="79"/>
        <v>0</v>
      </c>
      <c r="CR32" s="111">
        <f t="shared" si="79"/>
        <v>0</v>
      </c>
      <c r="CS32" s="111">
        <f t="shared" si="79"/>
        <v>228634.66000110973</v>
      </c>
      <c r="CT32" s="111">
        <f t="shared" si="79"/>
        <v>80139.552940590089</v>
      </c>
      <c r="CU32" s="111">
        <f t="shared" si="79"/>
        <v>163188</v>
      </c>
      <c r="CV32" s="111">
        <f t="shared" si="79"/>
        <v>36342.18</v>
      </c>
      <c r="CW32" s="111">
        <f t="shared" si="79"/>
        <v>0</v>
      </c>
      <c r="CX32" s="111">
        <f t="shared" si="79"/>
        <v>199530.17999999993</v>
      </c>
      <c r="CY32" s="111">
        <f t="shared" si="79"/>
        <v>121566.46156111872</v>
      </c>
      <c r="CZ32" s="110">
        <f>CT32/CY32</f>
        <v>0.65922419647214259</v>
      </c>
      <c r="DA32" s="111">
        <f t="shared" ref="DA32:DP32" si="80">SUM(DA6:DA31)</f>
        <v>8748090.5000000037</v>
      </c>
      <c r="DB32" s="111">
        <f t="shared" si="80"/>
        <v>858.19468658303606</v>
      </c>
      <c r="DC32" s="111">
        <f t="shared" si="80"/>
        <v>0</v>
      </c>
      <c r="DD32" s="111">
        <f t="shared" si="80"/>
        <v>504.02503439705822</v>
      </c>
      <c r="DE32" s="111">
        <f t="shared" si="80"/>
        <v>264401.31572840462</v>
      </c>
      <c r="DF32" s="111">
        <f t="shared" si="80"/>
        <v>13711.571640804281</v>
      </c>
      <c r="DG32" s="111">
        <f t="shared" si="80"/>
        <v>0</v>
      </c>
      <c r="DH32" s="111">
        <f t="shared" si="80"/>
        <v>0</v>
      </c>
      <c r="DI32" s="111">
        <f t="shared" si="80"/>
        <v>0</v>
      </c>
      <c r="DJ32" s="111">
        <f t="shared" si="80"/>
        <v>9027565.6070901901</v>
      </c>
      <c r="DK32" s="111">
        <f t="shared" si="80"/>
        <v>3161696.2947588521</v>
      </c>
      <c r="DL32" s="111">
        <f t="shared" si="80"/>
        <v>1503651</v>
      </c>
      <c r="DM32" s="111">
        <f t="shared" si="80"/>
        <v>252509.46</v>
      </c>
      <c r="DN32" s="111">
        <f t="shared" si="80"/>
        <v>0</v>
      </c>
      <c r="DO32" s="111">
        <f t="shared" si="80"/>
        <v>1756160.46</v>
      </c>
      <c r="DP32" s="111">
        <f t="shared" si="80"/>
        <v>1091072.3827241762</v>
      </c>
      <c r="DQ32" s="110">
        <f>DK32/DP32</f>
        <v>2.8977878505775827</v>
      </c>
      <c r="DR32" s="111">
        <f t="shared" ref="DR32:EG32" si="81">SUM(DR6:DR31)</f>
        <v>6773138.0000000019</v>
      </c>
      <c r="DS32" s="111">
        <f t="shared" si="81"/>
        <v>313.39868735595951</v>
      </c>
      <c r="DT32" s="111">
        <f t="shared" si="81"/>
        <v>0</v>
      </c>
      <c r="DU32" s="111">
        <f t="shared" si="81"/>
        <v>184.06171308693675</v>
      </c>
      <c r="DV32" s="111">
        <f t="shared" si="81"/>
        <v>96555.043488320473</v>
      </c>
      <c r="DW32" s="111">
        <f t="shared" si="81"/>
        <v>5007.2420873692736</v>
      </c>
      <c r="DX32" s="111">
        <f t="shared" si="81"/>
        <v>0</v>
      </c>
      <c r="DY32" s="111">
        <f t="shared" si="81"/>
        <v>0</v>
      </c>
      <c r="DZ32" s="111">
        <f t="shared" si="81"/>
        <v>0</v>
      </c>
      <c r="EA32" s="111">
        <f t="shared" si="81"/>
        <v>6875197.7459761333</v>
      </c>
      <c r="EB32" s="111">
        <f t="shared" si="81"/>
        <v>2417666.5041099158</v>
      </c>
      <c r="EC32" s="111">
        <f t="shared" si="81"/>
        <v>850632</v>
      </c>
      <c r="ED32" s="111">
        <f t="shared" si="81"/>
        <v>131888.1</v>
      </c>
      <c r="EE32" s="111">
        <f t="shared" si="81"/>
        <v>0</v>
      </c>
      <c r="EF32" s="111">
        <f t="shared" si="81"/>
        <v>982520.10000000056</v>
      </c>
      <c r="EG32" s="111">
        <f t="shared" si="81"/>
        <v>613363.49956312508</v>
      </c>
      <c r="EH32" s="110">
        <f>EB32/EG32</f>
        <v>3.9416536944763187</v>
      </c>
      <c r="EI32" s="111">
        <f t="shared" ref="EI32:EX32" si="82">SUM(EI6:EI31)</f>
        <v>2879898.4999999995</v>
      </c>
      <c r="EJ32" s="111">
        <f t="shared" si="82"/>
        <v>122.3843743852413</v>
      </c>
      <c r="EK32" s="111">
        <f t="shared" si="82"/>
        <v>0</v>
      </c>
      <c r="EL32" s="111">
        <f t="shared" si="82"/>
        <v>71.87738338812855</v>
      </c>
      <c r="EM32" s="111">
        <f t="shared" si="82"/>
        <v>37705.418266912733</v>
      </c>
      <c r="EN32" s="111">
        <f t="shared" si="82"/>
        <v>1955.3629768784203</v>
      </c>
      <c r="EO32" s="111">
        <f t="shared" si="82"/>
        <v>0</v>
      </c>
      <c r="EP32" s="111">
        <f t="shared" si="82"/>
        <v>0</v>
      </c>
      <c r="EQ32" s="111">
        <f t="shared" si="82"/>
        <v>0</v>
      </c>
      <c r="ER32" s="111">
        <f t="shared" si="82"/>
        <v>2919753.5430015647</v>
      </c>
      <c r="ES32" s="111">
        <f t="shared" si="82"/>
        <v>1027040.8203334244</v>
      </c>
      <c r="ET32" s="111">
        <f t="shared" si="82"/>
        <v>834405</v>
      </c>
      <c r="EU32" s="111">
        <f t="shared" si="82"/>
        <v>125012.63999999997</v>
      </c>
      <c r="EV32" s="111">
        <f t="shared" si="82"/>
        <v>0</v>
      </c>
      <c r="EW32" s="111">
        <f t="shared" si="82"/>
        <v>959417.63999999966</v>
      </c>
      <c r="EX32" s="111">
        <f t="shared" si="82"/>
        <v>600123.98852455406</v>
      </c>
      <c r="EY32" s="110">
        <f>ES32/EX32</f>
        <v>1.7113810478705818</v>
      </c>
      <c r="EZ32" s="111">
        <f t="shared" ref="EZ32:FO32" si="83">SUM(EZ6:EZ31)</f>
        <v>4254600</v>
      </c>
      <c r="FA32" s="111">
        <f t="shared" si="83"/>
        <v>202.25517673067088</v>
      </c>
      <c r="FB32" s="111">
        <f t="shared" si="83"/>
        <v>0</v>
      </c>
      <c r="FC32" s="111">
        <f t="shared" si="83"/>
        <v>118.7861845364571</v>
      </c>
      <c r="FD32" s="111">
        <f t="shared" si="83"/>
        <v>62312.824440094191</v>
      </c>
      <c r="FE32" s="111">
        <f t="shared" si="83"/>
        <v>3231.4769466913913</v>
      </c>
      <c r="FF32" s="111">
        <f t="shared" si="83"/>
        <v>0</v>
      </c>
      <c r="FG32" s="111">
        <f t="shared" si="83"/>
        <v>0</v>
      </c>
      <c r="FH32" s="111">
        <f t="shared" si="83"/>
        <v>0</v>
      </c>
      <c r="FI32" s="111">
        <f t="shared" si="83"/>
        <v>4320465.3427480515</v>
      </c>
      <c r="FJ32" s="111">
        <f t="shared" si="83"/>
        <v>1519140.8496352767</v>
      </c>
      <c r="FK32" s="111">
        <f t="shared" si="83"/>
        <v>942819</v>
      </c>
      <c r="FL32" s="111">
        <f t="shared" si="83"/>
        <v>141256.38000000003</v>
      </c>
      <c r="FM32" s="111">
        <f t="shared" si="83"/>
        <v>0</v>
      </c>
      <c r="FN32" s="111">
        <f t="shared" si="83"/>
        <v>1084075.3799999997</v>
      </c>
      <c r="FO32" s="111">
        <f t="shared" si="83"/>
        <v>678098.23653243121</v>
      </c>
      <c r="FP32" s="110">
        <f>FJ32/FO32</f>
        <v>2.2402961219950335</v>
      </c>
      <c r="FQ32" s="111">
        <f t="shared" ref="FQ32:GF32" si="84">SUM(FQ6:FQ31)</f>
        <v>725845.50000000023</v>
      </c>
      <c r="FR32" s="111">
        <f t="shared" si="84"/>
        <v>29.240957580740744</v>
      </c>
      <c r="FS32" s="111">
        <f t="shared" si="84"/>
        <v>0</v>
      </c>
      <c r="FT32" s="111">
        <f t="shared" si="84"/>
        <v>17.173462945939313</v>
      </c>
      <c r="FU32" s="111">
        <f t="shared" si="84"/>
        <v>9008.8505305121798</v>
      </c>
      <c r="FV32" s="111">
        <f t="shared" si="84"/>
        <v>467.18942797282403</v>
      </c>
      <c r="FW32" s="111">
        <f t="shared" si="84"/>
        <v>0</v>
      </c>
      <c r="FX32" s="111">
        <f t="shared" si="84"/>
        <v>0</v>
      </c>
      <c r="FY32" s="111">
        <f t="shared" si="84"/>
        <v>0</v>
      </c>
      <c r="FZ32" s="111">
        <f t="shared" si="84"/>
        <v>735367.95437901176</v>
      </c>
      <c r="GA32" s="111">
        <f t="shared" si="84"/>
        <v>258715.62444326139</v>
      </c>
      <c r="GB32" s="111">
        <f t="shared" si="84"/>
        <v>363162</v>
      </c>
      <c r="GC32" s="111">
        <f t="shared" si="84"/>
        <v>50463.239999999976</v>
      </c>
      <c r="GD32" s="111">
        <f t="shared" si="84"/>
        <v>0</v>
      </c>
      <c r="GE32" s="111">
        <f t="shared" si="84"/>
        <v>413625.24000000022</v>
      </c>
      <c r="GF32" s="111">
        <f t="shared" si="84"/>
        <v>259801.77830838927</v>
      </c>
      <c r="GG32" s="110">
        <f>GA32/GF32</f>
        <v>0.99581929780388723</v>
      </c>
      <c r="GH32" s="111">
        <f t="shared" ref="GH32:GW32" si="85">SUM(GH6:GH31)</f>
        <v>869948.00000000023</v>
      </c>
      <c r="GI32" s="111">
        <f t="shared" si="85"/>
        <v>138.74913846419736</v>
      </c>
      <c r="GJ32" s="111">
        <f t="shared" si="85"/>
        <v>0</v>
      </c>
      <c r="GK32" s="111">
        <f t="shared" si="85"/>
        <v>81.488548438143681</v>
      </c>
      <c r="GL32" s="111">
        <f t="shared" si="85"/>
        <v>42747.240619936892</v>
      </c>
      <c r="GM32" s="111">
        <f t="shared" si="85"/>
        <v>2216.8265335299743</v>
      </c>
      <c r="GN32" s="111">
        <f t="shared" si="85"/>
        <v>0</v>
      </c>
      <c r="GO32" s="111">
        <f t="shared" si="85"/>
        <v>0</v>
      </c>
      <c r="GP32" s="111">
        <f t="shared" si="85"/>
        <v>0</v>
      </c>
      <c r="GQ32" s="111">
        <f t="shared" si="85"/>
        <v>915132.30484036927</v>
      </c>
      <c r="GR32" s="111">
        <f t="shared" si="85"/>
        <v>319014.97205846722</v>
      </c>
      <c r="GS32" s="111">
        <f t="shared" si="85"/>
        <v>581697</v>
      </c>
      <c r="GT32" s="111">
        <f t="shared" si="85"/>
        <v>90833.94</v>
      </c>
      <c r="GU32" s="111">
        <f t="shared" si="85"/>
        <v>0</v>
      </c>
      <c r="GV32" s="111">
        <f t="shared" si="85"/>
        <v>672530.94000000088</v>
      </c>
      <c r="GW32" s="111">
        <f t="shared" si="85"/>
        <v>419670.19720821112</v>
      </c>
      <c r="GX32" s="110">
        <f>GR32/GW32</f>
        <v>0.76015636607189008</v>
      </c>
      <c r="GY32" s="111">
        <f t="shared" ref="GY32:HN32" si="86">SUM(GY6:GY31)</f>
        <v>1903367.9999999993</v>
      </c>
      <c r="GZ32" s="111">
        <f t="shared" si="86"/>
        <v>82.668359054672379</v>
      </c>
      <c r="HA32" s="111">
        <f t="shared" si="86"/>
        <v>0</v>
      </c>
      <c r="HB32" s="111">
        <f t="shared" si="86"/>
        <v>48.551829983915958</v>
      </c>
      <c r="HC32" s="111">
        <f t="shared" si="86"/>
        <v>25469.30579376021</v>
      </c>
      <c r="HD32" s="111">
        <f t="shared" si="86"/>
        <v>1320.8111694550748</v>
      </c>
      <c r="HE32" s="111">
        <f t="shared" si="86"/>
        <v>0</v>
      </c>
      <c r="HF32" s="111">
        <f t="shared" si="86"/>
        <v>0</v>
      </c>
      <c r="HG32" s="111">
        <f t="shared" si="86"/>
        <v>0</v>
      </c>
      <c r="HH32" s="111">
        <f t="shared" si="86"/>
        <v>1930289.3371522536</v>
      </c>
      <c r="HI32" s="111">
        <f t="shared" si="86"/>
        <v>678940.26219118852</v>
      </c>
      <c r="HJ32" s="111">
        <f t="shared" si="86"/>
        <v>537351</v>
      </c>
      <c r="HK32" s="111">
        <f t="shared" si="86"/>
        <v>104347.01999999997</v>
      </c>
      <c r="HL32" s="111">
        <f t="shared" si="86"/>
        <v>0</v>
      </c>
      <c r="HM32" s="111">
        <f t="shared" si="86"/>
        <v>641698.02000000048</v>
      </c>
      <c r="HN32" s="111">
        <f t="shared" si="86"/>
        <v>394890.18802592077</v>
      </c>
      <c r="HO32" s="110">
        <f>HI32/HN32</f>
        <v>1.7193140847212507</v>
      </c>
      <c r="HP32" s="111">
        <f t="shared" ref="HP32:IE32" si="87">SUM(HP6:HP31)</f>
        <v>2855137.9999999991</v>
      </c>
      <c r="HQ32" s="111">
        <f t="shared" si="87"/>
        <v>252.61945175372182</v>
      </c>
      <c r="HR32" s="111">
        <f t="shared" si="87"/>
        <v>0</v>
      </c>
      <c r="HS32" s="111">
        <f t="shared" si="87"/>
        <v>148.36555137214305</v>
      </c>
      <c r="HT32" s="111">
        <f t="shared" si="87"/>
        <v>77829.560665556055</v>
      </c>
      <c r="HU32" s="111">
        <f t="shared" si="87"/>
        <v>4036.1584203850816</v>
      </c>
      <c r="HV32" s="111">
        <f t="shared" si="87"/>
        <v>0</v>
      </c>
      <c r="HW32" s="111">
        <f t="shared" si="87"/>
        <v>0</v>
      </c>
      <c r="HX32" s="111">
        <f t="shared" si="87"/>
        <v>0</v>
      </c>
      <c r="HY32" s="111">
        <f t="shared" si="87"/>
        <v>2937404.7040890665</v>
      </c>
      <c r="HZ32" s="111">
        <f t="shared" si="87"/>
        <v>1029524.0528753526</v>
      </c>
      <c r="IA32" s="111">
        <f t="shared" si="87"/>
        <v>1253235</v>
      </c>
      <c r="IB32" s="111">
        <f t="shared" si="87"/>
        <v>205064.6999999999</v>
      </c>
      <c r="IC32" s="111">
        <f t="shared" si="87"/>
        <v>0</v>
      </c>
      <c r="ID32" s="111">
        <f t="shared" si="87"/>
        <v>1458299.700000002</v>
      </c>
      <c r="IE32" s="111">
        <f t="shared" si="87"/>
        <v>907463.43337077543</v>
      </c>
      <c r="IF32" s="110">
        <f>HZ32/IE32</f>
        <v>1.1345074798784813</v>
      </c>
      <c r="IG32" s="111">
        <f t="shared" ref="IG32:IV32" si="88">SUM(IG6:IG31)</f>
        <v>2752719.5000000009</v>
      </c>
      <c r="IH32" s="111">
        <f t="shared" si="88"/>
        <v>265.65224044796309</v>
      </c>
      <c r="II32" s="111">
        <f t="shared" si="88"/>
        <v>0</v>
      </c>
      <c r="IJ32" s="111">
        <f t="shared" si="88"/>
        <v>156.01981895571299</v>
      </c>
      <c r="IK32" s="111">
        <f t="shared" si="88"/>
        <v>81844.834276824491</v>
      </c>
      <c r="IL32" s="111">
        <f t="shared" si="88"/>
        <v>4244.3862487022898</v>
      </c>
      <c r="IM32" s="111">
        <f t="shared" si="88"/>
        <v>0</v>
      </c>
      <c r="IN32" s="111">
        <f t="shared" si="88"/>
        <v>0</v>
      </c>
      <c r="IO32" s="111">
        <f t="shared" si="88"/>
        <v>0</v>
      </c>
      <c r="IP32" s="111">
        <f t="shared" si="88"/>
        <v>2839230.3925849311</v>
      </c>
      <c r="IQ32" s="111">
        <f t="shared" si="88"/>
        <v>994497.29380020825</v>
      </c>
      <c r="IR32" s="111">
        <f t="shared" si="88"/>
        <v>1397181</v>
      </c>
      <c r="IS32" s="111">
        <f t="shared" si="88"/>
        <v>193543.62000000005</v>
      </c>
      <c r="IT32" s="111">
        <f t="shared" si="88"/>
        <v>0</v>
      </c>
      <c r="IU32" s="111">
        <f t="shared" si="88"/>
        <v>1590724.620000002</v>
      </c>
      <c r="IV32" s="111">
        <f t="shared" si="88"/>
        <v>999314.22825073556</v>
      </c>
      <c r="IW32" s="94">
        <f>IQ32/IV32</f>
        <v>0.99517975996503205</v>
      </c>
    </row>
    <row r="34" spans="1:225" ht="15.6" x14ac:dyDescent="0.35">
      <c r="B34" s="4"/>
      <c r="C34" s="128" t="s">
        <v>425</v>
      </c>
      <c r="D34" s="5" t="s">
        <v>99</v>
      </c>
      <c r="AL34" s="6"/>
      <c r="BV34" s="6"/>
      <c r="BW34" s="6"/>
    </row>
    <row r="35" spans="1:225" ht="43.2" x14ac:dyDescent="0.3">
      <c r="B35" s="129" t="s">
        <v>424</v>
      </c>
      <c r="C35" s="130">
        <v>7.0000000000000007E-2</v>
      </c>
      <c r="D35" s="131">
        <v>0.03</v>
      </c>
      <c r="E35" s="42"/>
      <c r="F35" s="42"/>
      <c r="L35" s="55"/>
      <c r="M35" s="55"/>
      <c r="N35" s="8"/>
      <c r="O35" s="23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BH35" s="23"/>
      <c r="DC35" s="6"/>
      <c r="EJ35" s="6"/>
      <c r="FA35" s="6"/>
      <c r="FR35" s="6"/>
      <c r="FW35" s="53"/>
      <c r="GI35" s="6"/>
      <c r="GJ35" s="6"/>
      <c r="GZ35" s="6"/>
      <c r="HQ35" s="6"/>
    </row>
    <row r="36" spans="1:225" x14ac:dyDescent="0.3">
      <c r="B36" s="96"/>
      <c r="C36" s="97"/>
      <c r="D36" s="97"/>
      <c r="E36" s="42"/>
      <c r="F36" s="42"/>
      <c r="L36" s="55"/>
      <c r="M36" s="55"/>
      <c r="N36" s="8"/>
      <c r="BH36" s="23"/>
      <c r="FW36" s="53"/>
    </row>
    <row r="37" spans="1:225" ht="24.6" customHeight="1" thickBot="1" x14ac:dyDescent="0.35">
      <c r="B37" s="96"/>
      <c r="C37" s="115"/>
      <c r="D37" s="115"/>
      <c r="E37" s="116"/>
      <c r="F37" s="116"/>
    </row>
    <row r="38" spans="1:225" x14ac:dyDescent="0.3">
      <c r="A38" s="230" t="s">
        <v>423</v>
      </c>
      <c r="B38" s="231"/>
      <c r="C38" s="202" t="s">
        <v>427</v>
      </c>
      <c r="D38" s="202" t="s">
        <v>426</v>
      </c>
      <c r="E38" s="203" t="s">
        <v>152</v>
      </c>
    </row>
    <row r="39" spans="1:225" x14ac:dyDescent="0.3">
      <c r="A39" s="204" t="s">
        <v>421</v>
      </c>
      <c r="B39" s="205">
        <f>(SUM(M32,AD32,AU32,BL32,CC32,CT32,DK32,EB32,ES32,FJ32,GA32,GR32,HI32,HZ32,IQ32))/(SUM(IV32,IE32,HN32,GW32,GF32,FO32,EX32,EG32,DP32,CY32,BQ32,AZ32,AI32,R32,CH32))</f>
        <v>2.0450674863829215</v>
      </c>
      <c r="C39" s="206">
        <f>SUM(C40:C54)</f>
        <v>18186286.657661602</v>
      </c>
      <c r="D39" s="206">
        <f t="shared" ref="D39" si="89">SUM(D40:D54)</f>
        <v>8892756.2433782592</v>
      </c>
      <c r="E39" s="207">
        <f>SUM(E40:E54)</f>
        <v>9293530.4142833464</v>
      </c>
      <c r="F39" s="120"/>
      <c r="I39" s="75"/>
      <c r="J39" s="98"/>
    </row>
    <row r="40" spans="1:225" x14ac:dyDescent="0.3">
      <c r="A40" s="19" t="s">
        <v>27</v>
      </c>
      <c r="B40" s="95">
        <f>S32</f>
        <v>2.5425494923879914</v>
      </c>
      <c r="C40" s="98">
        <f>M32</f>
        <v>3147673.0145951691</v>
      </c>
      <c r="D40" s="23">
        <f>R32</f>
        <v>1237998.7190097286</v>
      </c>
      <c r="E40" s="156">
        <f>C40-D40</f>
        <v>1909674.2955854405</v>
      </c>
      <c r="F40" s="23"/>
      <c r="I40" s="75"/>
      <c r="J40" s="98"/>
    </row>
    <row r="41" spans="1:225" x14ac:dyDescent="0.3">
      <c r="A41" s="19" t="s">
        <v>28</v>
      </c>
      <c r="B41" s="95">
        <f>AJ32</f>
        <v>3.1380711321977452</v>
      </c>
      <c r="C41" s="98">
        <f>AD32</f>
        <v>1296921.9684732768</v>
      </c>
      <c r="D41" s="23">
        <f>AI32</f>
        <v>413286.35134060163</v>
      </c>
      <c r="E41" s="156">
        <f t="shared" ref="E41:E54" si="90">C41-D41</f>
        <v>883635.61713267514</v>
      </c>
      <c r="F41" s="23"/>
      <c r="I41" s="75"/>
      <c r="J41" s="55"/>
    </row>
    <row r="42" spans="1:225" x14ac:dyDescent="0.3">
      <c r="A42" s="19" t="s">
        <v>35</v>
      </c>
      <c r="B42" s="95">
        <f>BA32</f>
        <v>2.1065098820922308</v>
      </c>
      <c r="C42" s="98">
        <f>AU32</f>
        <v>1170461.0734772121</v>
      </c>
      <c r="D42" s="8">
        <f>AZ32</f>
        <v>555639.96325271693</v>
      </c>
      <c r="E42" s="156">
        <f t="shared" si="90"/>
        <v>614821.11022449518</v>
      </c>
      <c r="F42" s="23"/>
      <c r="I42" s="75"/>
      <c r="J42" s="95"/>
    </row>
    <row r="43" spans="1:225" x14ac:dyDescent="0.3">
      <c r="A43" s="19" t="s">
        <v>36</v>
      </c>
      <c r="B43" s="95">
        <f>BR32</f>
        <v>0.66130565984425527</v>
      </c>
      <c r="C43" s="98">
        <f>BL32</f>
        <v>178701.26577731353</v>
      </c>
      <c r="D43" s="8">
        <f>BQ32</f>
        <v>270224.9150860128</v>
      </c>
      <c r="E43" s="156">
        <f t="shared" si="90"/>
        <v>-91523.64930869927</v>
      </c>
      <c r="F43" s="23"/>
      <c r="I43" s="75"/>
    </row>
    <row r="44" spans="1:225" x14ac:dyDescent="0.3">
      <c r="A44" s="19" t="s">
        <v>37</v>
      </c>
      <c r="B44" s="95">
        <f>CI32</f>
        <v>2.7439071374393418</v>
      </c>
      <c r="C44" s="98">
        <f>CC32</f>
        <v>906153.10819209507</v>
      </c>
      <c r="D44" s="8">
        <f>CH32</f>
        <v>330241.90061976068</v>
      </c>
      <c r="E44" s="156">
        <f t="shared" si="90"/>
        <v>575911.20757233445</v>
      </c>
      <c r="F44" s="23"/>
      <c r="I44" s="75"/>
    </row>
    <row r="45" spans="1:225" x14ac:dyDescent="0.3">
      <c r="A45" s="19" t="s">
        <v>38</v>
      </c>
      <c r="B45" s="95">
        <f>CZ32</f>
        <v>0.65922419647214259</v>
      </c>
      <c r="C45" s="98">
        <f>CT32</f>
        <v>80139.552940590089</v>
      </c>
      <c r="D45" s="8">
        <f>CY32</f>
        <v>121566.46156111872</v>
      </c>
      <c r="E45" s="156">
        <f t="shared" si="90"/>
        <v>-41426.908620528629</v>
      </c>
      <c r="F45" s="23"/>
      <c r="I45" s="75"/>
    </row>
    <row r="46" spans="1:225" x14ac:dyDescent="0.3">
      <c r="A46" s="19" t="s">
        <v>39</v>
      </c>
      <c r="B46" s="95">
        <f>DQ32</f>
        <v>2.8977878505775827</v>
      </c>
      <c r="C46" s="98">
        <f>DK32</f>
        <v>3161696.2947588521</v>
      </c>
      <c r="D46" s="8">
        <f>DP32</f>
        <v>1091072.3827241762</v>
      </c>
      <c r="E46" s="156">
        <f t="shared" si="90"/>
        <v>2070623.9120346759</v>
      </c>
      <c r="F46" s="23"/>
      <c r="I46" s="75"/>
    </row>
    <row r="47" spans="1:225" x14ac:dyDescent="0.3">
      <c r="A47" s="19" t="s">
        <v>29</v>
      </c>
      <c r="B47" s="95">
        <f>EH32</f>
        <v>3.9416536944763187</v>
      </c>
      <c r="C47" s="98">
        <f>EB32</f>
        <v>2417666.5041099158</v>
      </c>
      <c r="D47" s="8">
        <f>EG32</f>
        <v>613363.49956312508</v>
      </c>
      <c r="E47" s="156">
        <f t="shared" si="90"/>
        <v>1804303.0045467908</v>
      </c>
      <c r="F47" s="23"/>
    </row>
    <row r="48" spans="1:225" x14ac:dyDescent="0.3">
      <c r="A48" s="19" t="s">
        <v>30</v>
      </c>
      <c r="B48" s="95">
        <f>EY32</f>
        <v>1.7113810478705818</v>
      </c>
      <c r="C48" s="98">
        <f>ES32</f>
        <v>1027040.8203334244</v>
      </c>
      <c r="D48" s="8">
        <f>EX32</f>
        <v>600123.98852455406</v>
      </c>
      <c r="E48" s="156">
        <f t="shared" si="90"/>
        <v>426916.83180887031</v>
      </c>
      <c r="F48" s="23"/>
    </row>
    <row r="49" spans="1:19" x14ac:dyDescent="0.3">
      <c r="A49" s="19" t="s">
        <v>31</v>
      </c>
      <c r="B49" s="95">
        <f>FP32</f>
        <v>2.2402961219950335</v>
      </c>
      <c r="C49" s="98">
        <f>FJ32</f>
        <v>1519140.8496352767</v>
      </c>
      <c r="D49" s="8">
        <f>FO32</f>
        <v>678098.23653243121</v>
      </c>
      <c r="E49" s="156">
        <f t="shared" si="90"/>
        <v>841042.6131028455</v>
      </c>
      <c r="F49" s="23"/>
    </row>
    <row r="50" spans="1:19" x14ac:dyDescent="0.3">
      <c r="A50" s="19" t="s">
        <v>32</v>
      </c>
      <c r="B50" s="95">
        <f>GG32</f>
        <v>0.99581929780388723</v>
      </c>
      <c r="C50" s="98">
        <f>GA32</f>
        <v>258715.62444326139</v>
      </c>
      <c r="D50" s="8">
        <f>GF32</f>
        <v>259801.77830838927</v>
      </c>
      <c r="E50" s="156">
        <f>C50-D50</f>
        <v>-1086.1538651278825</v>
      </c>
      <c r="F50" s="23"/>
    </row>
    <row r="51" spans="1:19" x14ac:dyDescent="0.3">
      <c r="A51" s="19" t="s">
        <v>40</v>
      </c>
      <c r="B51" s="95">
        <f>GX32</f>
        <v>0.76015636607189008</v>
      </c>
      <c r="C51" s="98">
        <f>GR32</f>
        <v>319014.97205846722</v>
      </c>
      <c r="D51" s="8">
        <f>GW32</f>
        <v>419670.19720821112</v>
      </c>
      <c r="E51" s="156">
        <f t="shared" si="90"/>
        <v>-100655.2251497439</v>
      </c>
      <c r="F51" s="23"/>
    </row>
    <row r="52" spans="1:19" x14ac:dyDescent="0.3">
      <c r="A52" s="19" t="s">
        <v>33</v>
      </c>
      <c r="B52" s="95">
        <f>HO32</f>
        <v>1.7193140847212507</v>
      </c>
      <c r="C52" s="98">
        <f>HI32</f>
        <v>678940.26219118852</v>
      </c>
      <c r="D52" s="8">
        <f>HN32</f>
        <v>394890.18802592077</v>
      </c>
      <c r="E52" s="156">
        <f t="shared" si="90"/>
        <v>284050.07416526775</v>
      </c>
      <c r="F52" s="23"/>
    </row>
    <row r="53" spans="1:19" x14ac:dyDescent="0.3">
      <c r="A53" s="19" t="s">
        <v>26</v>
      </c>
      <c r="B53" s="95">
        <f>IF32</f>
        <v>1.1345074798784813</v>
      </c>
      <c r="C53" s="98">
        <f>HZ32</f>
        <v>1029524.0528753526</v>
      </c>
      <c r="D53" s="8">
        <f>IE32</f>
        <v>907463.43337077543</v>
      </c>
      <c r="E53" s="156">
        <f t="shared" si="90"/>
        <v>122060.61950457713</v>
      </c>
      <c r="F53" s="23"/>
    </row>
    <row r="54" spans="1:19" ht="15" thickBot="1" x14ac:dyDescent="0.35">
      <c r="A54" s="167" t="s">
        <v>34</v>
      </c>
      <c r="B54" s="119">
        <f>IW32</f>
        <v>0.99517975996503205</v>
      </c>
      <c r="C54" s="208">
        <f>IQ32</f>
        <v>994497.29380020825</v>
      </c>
      <c r="D54" s="209">
        <f>IV32</f>
        <v>999314.22825073556</v>
      </c>
      <c r="E54" s="158">
        <f t="shared" si="90"/>
        <v>-4816.9344505273039</v>
      </c>
      <c r="F54" s="23"/>
    </row>
    <row r="55" spans="1:19" ht="15" thickBot="1" x14ac:dyDescent="0.35"/>
    <row r="56" spans="1:19" ht="103.8" x14ac:dyDescent="0.3">
      <c r="C56" s="211" t="s">
        <v>136</v>
      </c>
      <c r="D56" s="212" t="s">
        <v>137</v>
      </c>
      <c r="E56" s="212" t="s">
        <v>138</v>
      </c>
      <c r="F56" s="212" t="s">
        <v>139</v>
      </c>
      <c r="G56" s="212" t="s">
        <v>140</v>
      </c>
      <c r="H56" s="212" t="s">
        <v>141</v>
      </c>
      <c r="I56" s="212" t="s">
        <v>142</v>
      </c>
      <c r="J56" s="212" t="s">
        <v>143</v>
      </c>
      <c r="K56" s="212" t="s">
        <v>144</v>
      </c>
      <c r="L56" s="212" t="s">
        <v>145</v>
      </c>
      <c r="M56" s="212" t="s">
        <v>146</v>
      </c>
      <c r="N56" s="212" t="s">
        <v>147</v>
      </c>
      <c r="O56" s="212" t="s">
        <v>472</v>
      </c>
      <c r="P56" s="212" t="s">
        <v>148</v>
      </c>
      <c r="Q56" s="212" t="s">
        <v>149</v>
      </c>
      <c r="R56" s="212" t="s">
        <v>150</v>
      </c>
      <c r="S56" s="213" t="s">
        <v>151</v>
      </c>
    </row>
    <row r="57" spans="1:19" ht="15" thickBot="1" x14ac:dyDescent="0.35">
      <c r="B57" t="s">
        <v>22</v>
      </c>
      <c r="C57" s="214">
        <f>SUM(C32,T32,AK32,BB32,BS32,CJ32,DA32,DR32,EI32,EZ32,FQ32,GH32,GY32,HP32,IG32)</f>
        <v>50667088.000000007</v>
      </c>
      <c r="D57" s="215">
        <f t="shared" ref="D57:R57" si="91">SUM(D32,U32,AL32,BC32,BT32,CK32,DB32,DS32,EJ32,FA32,FR32,GI32,GZ32,HQ32,IH32)</f>
        <v>3513.0398597492185</v>
      </c>
      <c r="E57" s="215">
        <f t="shared" si="91"/>
        <v>0</v>
      </c>
      <c r="F57" s="215">
        <f t="shared" si="91"/>
        <v>2063.2381717467247</v>
      </c>
      <c r="G57" s="215">
        <f t="shared" si="91"/>
        <v>1082332.9200770466</v>
      </c>
      <c r="H57" s="215">
        <f t="shared" si="91"/>
        <v>56128.636621769321</v>
      </c>
      <c r="I57" s="215">
        <f t="shared" si="91"/>
        <v>0</v>
      </c>
      <c r="J57" s="215">
        <f t="shared" si="91"/>
        <v>0</v>
      </c>
      <c r="K57" s="215">
        <f t="shared" si="91"/>
        <v>0</v>
      </c>
      <c r="L57" s="215">
        <f t="shared" si="91"/>
        <v>51811125.834730312</v>
      </c>
      <c r="M57" s="215">
        <f t="shared" si="91"/>
        <v>18186286.657661602</v>
      </c>
      <c r="N57" s="215">
        <f t="shared" si="91"/>
        <v>12300000</v>
      </c>
      <c r="O57" s="215">
        <f t="shared" si="91"/>
        <v>1974000</v>
      </c>
      <c r="P57" s="215">
        <f t="shared" si="91"/>
        <v>0</v>
      </c>
      <c r="Q57" s="215">
        <f t="shared" si="91"/>
        <v>14274000.000000004</v>
      </c>
      <c r="R57" s="215">
        <f t="shared" si="91"/>
        <v>8892756.2433782592</v>
      </c>
      <c r="S57" s="216">
        <f>M57/R57</f>
        <v>2.0450674863829206</v>
      </c>
    </row>
    <row r="59" spans="1:19" x14ac:dyDescent="0.3">
      <c r="B59" s="95"/>
      <c r="C59" s="95"/>
    </row>
    <row r="60" spans="1:19" x14ac:dyDescent="0.3">
      <c r="B60" s="95"/>
      <c r="C60" s="95"/>
    </row>
    <row r="61" spans="1:19" x14ac:dyDescent="0.3">
      <c r="B61" s="95"/>
      <c r="C61" s="95"/>
    </row>
    <row r="62" spans="1:19" x14ac:dyDescent="0.3">
      <c r="B62" s="95"/>
      <c r="C62" s="95"/>
    </row>
    <row r="63" spans="1:19" x14ac:dyDescent="0.3">
      <c r="B63" s="95"/>
      <c r="C63" s="95"/>
    </row>
    <row r="64" spans="1:19" x14ac:dyDescent="0.3">
      <c r="B64" s="95"/>
      <c r="C64" s="95"/>
    </row>
    <row r="65" spans="2:3" x14ac:dyDescent="0.3">
      <c r="B65" s="95"/>
      <c r="C65" s="95"/>
    </row>
    <row r="66" spans="2:3" x14ac:dyDescent="0.3">
      <c r="B66" s="95"/>
      <c r="C66" s="95"/>
    </row>
    <row r="67" spans="2:3" x14ac:dyDescent="0.3">
      <c r="B67" s="95"/>
      <c r="C67" s="95"/>
    </row>
    <row r="68" spans="2:3" x14ac:dyDescent="0.3">
      <c r="B68" s="95"/>
      <c r="C68" s="95"/>
    </row>
    <row r="69" spans="2:3" x14ac:dyDescent="0.3">
      <c r="B69" s="95"/>
      <c r="C69" s="95"/>
    </row>
    <row r="70" spans="2:3" x14ac:dyDescent="0.3">
      <c r="B70" s="95"/>
      <c r="C70" s="95"/>
    </row>
    <row r="71" spans="2:3" x14ac:dyDescent="0.3">
      <c r="B71" s="95"/>
      <c r="C71" s="95"/>
    </row>
    <row r="72" spans="2:3" x14ac:dyDescent="0.3">
      <c r="B72" s="95"/>
      <c r="C72" s="95"/>
    </row>
    <row r="73" spans="2:3" x14ac:dyDescent="0.3">
      <c r="B73" s="95"/>
      <c r="C73" s="95"/>
    </row>
    <row r="74" spans="2:3" x14ac:dyDescent="0.3">
      <c r="B74" s="95"/>
      <c r="C74" s="95"/>
    </row>
  </sheetData>
  <sheetProtection algorithmName="SHA-512" hashValue="SZKLTokjA/7eTqDO4EZMVlWuPnZI5nbQgRtSDiTNDrX/smE5VMbZODfKWFwyFGoZrYkagxdAhNj9F7888HcFlQ==" saltValue="u+9LObF3TO5nxYBiSQLgvQ==" spinCount="100000" sheet="1" objects="1" scenarios="1"/>
  <mergeCells count="91">
    <mergeCell ref="A38:B38"/>
    <mergeCell ref="IG1:IW1"/>
    <mergeCell ref="IG2:IQ2"/>
    <mergeCell ref="IR2:IV2"/>
    <mergeCell ref="IH3:IJ3"/>
    <mergeCell ref="IK3:IL3"/>
    <mergeCell ref="IM3:IN3"/>
    <mergeCell ref="HP1:IF1"/>
    <mergeCell ref="HP2:HZ2"/>
    <mergeCell ref="IA2:IE2"/>
    <mergeCell ref="HQ3:HS3"/>
    <mergeCell ref="HT3:HU3"/>
    <mergeCell ref="HV3:HW3"/>
    <mergeCell ref="GY1:HO1"/>
    <mergeCell ref="GY2:HI2"/>
    <mergeCell ref="HJ2:HN2"/>
    <mergeCell ref="GZ3:HB3"/>
    <mergeCell ref="HC3:HD3"/>
    <mergeCell ref="HE3:HF3"/>
    <mergeCell ref="GH1:GX1"/>
    <mergeCell ref="GH2:GR2"/>
    <mergeCell ref="GS2:GW2"/>
    <mergeCell ref="GI3:GK3"/>
    <mergeCell ref="GL3:GM3"/>
    <mergeCell ref="GN3:GO3"/>
    <mergeCell ref="FQ1:GG1"/>
    <mergeCell ref="FQ2:GA2"/>
    <mergeCell ref="GB2:GF2"/>
    <mergeCell ref="FR3:FT3"/>
    <mergeCell ref="FU3:FV3"/>
    <mergeCell ref="FW3:FX3"/>
    <mergeCell ref="EZ1:FP1"/>
    <mergeCell ref="EZ2:FJ2"/>
    <mergeCell ref="FK2:FO2"/>
    <mergeCell ref="FA3:FC3"/>
    <mergeCell ref="FD3:FE3"/>
    <mergeCell ref="FF3:FG3"/>
    <mergeCell ref="EI1:EY1"/>
    <mergeCell ref="EI2:ES2"/>
    <mergeCell ref="ET2:EX2"/>
    <mergeCell ref="EJ3:EL3"/>
    <mergeCell ref="EM3:EN3"/>
    <mergeCell ref="EO3:EP3"/>
    <mergeCell ref="DR1:EH1"/>
    <mergeCell ref="DR2:EB2"/>
    <mergeCell ref="EC2:EG2"/>
    <mergeCell ref="DS3:DU3"/>
    <mergeCell ref="DV3:DW3"/>
    <mergeCell ref="DX3:DY3"/>
    <mergeCell ref="DA1:DQ1"/>
    <mergeCell ref="DA2:DK2"/>
    <mergeCell ref="DL2:DP2"/>
    <mergeCell ref="DB3:DD3"/>
    <mergeCell ref="DE3:DF3"/>
    <mergeCell ref="DG3:DH3"/>
    <mergeCell ref="CJ1:CZ1"/>
    <mergeCell ref="CJ2:CT2"/>
    <mergeCell ref="CU2:CY2"/>
    <mergeCell ref="CK3:CM3"/>
    <mergeCell ref="CN3:CO3"/>
    <mergeCell ref="CP3:CQ3"/>
    <mergeCell ref="BS1:CI1"/>
    <mergeCell ref="BS2:CC2"/>
    <mergeCell ref="CD2:CH2"/>
    <mergeCell ref="BT3:BV3"/>
    <mergeCell ref="BW3:BX3"/>
    <mergeCell ref="BY3:BZ3"/>
    <mergeCell ref="AL3:AN3"/>
    <mergeCell ref="AO3:AP3"/>
    <mergeCell ref="AQ3:AR3"/>
    <mergeCell ref="BB1:BR1"/>
    <mergeCell ref="BB2:BL2"/>
    <mergeCell ref="BM2:BQ2"/>
    <mergeCell ref="BC3:BE3"/>
    <mergeCell ref="BF3:BG3"/>
    <mergeCell ref="BH3:BI3"/>
    <mergeCell ref="AK1:BA1"/>
    <mergeCell ref="AK2:AU2"/>
    <mergeCell ref="AV2:AZ2"/>
    <mergeCell ref="T1:AJ1"/>
    <mergeCell ref="C1:S1"/>
    <mergeCell ref="D3:F3"/>
    <mergeCell ref="G3:H3"/>
    <mergeCell ref="I3:J3"/>
    <mergeCell ref="U3:W3"/>
    <mergeCell ref="X3:Y3"/>
    <mergeCell ref="C2:M2"/>
    <mergeCell ref="N2:R2"/>
    <mergeCell ref="Z3:AA3"/>
    <mergeCell ref="T2:AD2"/>
    <mergeCell ref="AE2:AI2"/>
  </mergeCells>
  <pageMargins left="0.7" right="0.7" top="0.75" bottom="0.75" header="0.3" footer="0.3"/>
  <pageSetup orientation="portrait" horizontalDpi="4294967293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ABEC76-85AB-48C0-8D9C-A8B5C99E3415}">
  <sheetPr>
    <tabColor rgb="FFFF0000"/>
  </sheetPr>
  <dimension ref="B2:R27"/>
  <sheetViews>
    <sheetView workbookViewId="0">
      <selection activeCell="E16" sqref="E16"/>
    </sheetView>
  </sheetViews>
  <sheetFormatPr defaultRowHeight="14.4" x14ac:dyDescent="0.3"/>
  <cols>
    <col min="3" max="3" width="14.21875" bestFit="1" customWidth="1"/>
    <col min="4" max="4" width="12.5546875" bestFit="1" customWidth="1"/>
    <col min="5" max="5" width="14.21875" bestFit="1" customWidth="1"/>
    <col min="6" max="8" width="12.5546875" bestFit="1" customWidth="1"/>
    <col min="9" max="9" width="15.21875" bestFit="1" customWidth="1"/>
    <col min="10" max="15" width="12.5546875" bestFit="1" customWidth="1"/>
    <col min="16" max="17" width="14.21875" bestFit="1" customWidth="1"/>
    <col min="18" max="18" width="31" bestFit="1" customWidth="1"/>
  </cols>
  <sheetData>
    <row r="2" spans="2:18" x14ac:dyDescent="0.3">
      <c r="B2" s="33" t="s">
        <v>58</v>
      </c>
      <c r="C2" s="15" t="s">
        <v>43</v>
      </c>
      <c r="D2" s="15" t="s">
        <v>53</v>
      </c>
      <c r="E2" s="15" t="s">
        <v>55</v>
      </c>
      <c r="F2" s="15" t="s">
        <v>54</v>
      </c>
      <c r="G2" s="15" t="s">
        <v>52</v>
      </c>
      <c r="H2" s="15" t="s">
        <v>50</v>
      </c>
      <c r="I2" s="15" t="s">
        <v>47</v>
      </c>
      <c r="J2" s="15" t="s">
        <v>46</v>
      </c>
      <c r="K2" s="15" t="s">
        <v>42</v>
      </c>
      <c r="L2" s="15" t="s">
        <v>45</v>
      </c>
      <c r="M2" s="15" t="s">
        <v>41</v>
      </c>
      <c r="N2" s="15" t="s">
        <v>48</v>
      </c>
      <c r="O2" s="15" t="s">
        <v>51</v>
      </c>
      <c r="P2" s="15" t="s">
        <v>44</v>
      </c>
      <c r="Q2" s="15" t="s">
        <v>49</v>
      </c>
      <c r="R2" s="5" t="s">
        <v>208</v>
      </c>
    </row>
    <row r="3" spans="2:18" x14ac:dyDescent="0.3">
      <c r="B3" s="34">
        <v>2023</v>
      </c>
      <c r="R3" s="13"/>
    </row>
    <row r="4" spans="2:18" x14ac:dyDescent="0.3">
      <c r="B4" s="34">
        <v>2024</v>
      </c>
      <c r="C4" s="35"/>
      <c r="D4" s="35"/>
      <c r="E4" s="35"/>
      <c r="F4" s="35"/>
      <c r="G4" s="35"/>
      <c r="H4" s="35"/>
      <c r="R4" s="13"/>
    </row>
    <row r="5" spans="2:18" x14ac:dyDescent="0.3">
      <c r="B5" s="34">
        <v>2025</v>
      </c>
      <c r="C5" s="35"/>
      <c r="D5" s="35"/>
      <c r="E5" s="35"/>
      <c r="F5" s="35"/>
      <c r="G5" s="35"/>
      <c r="H5" s="35"/>
      <c r="R5" s="13"/>
    </row>
    <row r="6" spans="2:18" x14ac:dyDescent="0.3">
      <c r="B6" s="34">
        <v>2026</v>
      </c>
      <c r="C6" s="35"/>
      <c r="D6" s="35"/>
      <c r="E6" s="35"/>
      <c r="F6" s="35"/>
      <c r="G6" s="35"/>
      <c r="H6" s="35"/>
      <c r="R6" s="13"/>
    </row>
    <row r="7" spans="2:18" x14ac:dyDescent="0.3">
      <c r="B7" s="34">
        <v>2027</v>
      </c>
      <c r="C7" s="162">
        <v>1725210</v>
      </c>
      <c r="D7" s="162">
        <v>572217</v>
      </c>
      <c r="E7" s="162">
        <v>1503651</v>
      </c>
      <c r="F7" s="162">
        <v>163188</v>
      </c>
      <c r="G7" s="162">
        <v>452670</v>
      </c>
      <c r="H7" s="162">
        <v>377109</v>
      </c>
      <c r="I7" s="162">
        <v>745473</v>
      </c>
      <c r="J7" s="162">
        <v>834405</v>
      </c>
      <c r="K7" s="162">
        <v>850632</v>
      </c>
      <c r="L7" s="162">
        <v>942819</v>
      </c>
      <c r="M7" s="162">
        <v>363162</v>
      </c>
      <c r="N7" s="162">
        <v>581697</v>
      </c>
      <c r="O7" s="162">
        <v>537351</v>
      </c>
      <c r="P7" s="162">
        <v>1253235</v>
      </c>
      <c r="Q7" s="162">
        <v>1397181</v>
      </c>
      <c r="R7" s="74">
        <f>SUM(C7:Q7)</f>
        <v>12300000</v>
      </c>
    </row>
    <row r="8" spans="2:18" x14ac:dyDescent="0.3">
      <c r="B8" s="34">
        <v>2028</v>
      </c>
      <c r="R8" s="13"/>
    </row>
    <row r="9" spans="2:18" x14ac:dyDescent="0.3">
      <c r="B9" s="34">
        <v>2029</v>
      </c>
      <c r="C9" s="36"/>
      <c r="D9" s="38"/>
      <c r="E9" s="36"/>
      <c r="F9" s="38"/>
      <c r="G9" s="38"/>
      <c r="H9" s="38"/>
      <c r="R9" s="13"/>
    </row>
    <row r="10" spans="2:18" x14ac:dyDescent="0.3">
      <c r="B10" s="34">
        <v>2030</v>
      </c>
      <c r="C10" s="36"/>
      <c r="D10" s="36"/>
      <c r="E10" s="36"/>
      <c r="F10" s="36"/>
      <c r="G10" s="36"/>
      <c r="H10" s="36"/>
      <c r="R10" s="13"/>
    </row>
    <row r="11" spans="2:18" x14ac:dyDescent="0.3">
      <c r="B11" s="34">
        <v>2031</v>
      </c>
      <c r="C11" s="36"/>
      <c r="D11" s="36"/>
      <c r="E11" s="36"/>
      <c r="F11" s="36"/>
      <c r="G11" s="36"/>
      <c r="H11" s="36"/>
      <c r="R11" s="13"/>
    </row>
    <row r="12" spans="2:18" x14ac:dyDescent="0.3">
      <c r="B12" s="34">
        <v>2032</v>
      </c>
      <c r="C12" s="35"/>
      <c r="D12" s="35"/>
      <c r="E12" s="35"/>
      <c r="F12" s="35"/>
      <c r="G12" s="35"/>
      <c r="H12" s="35"/>
      <c r="R12" s="13"/>
    </row>
    <row r="13" spans="2:18" x14ac:dyDescent="0.3">
      <c r="B13" s="34">
        <v>2033</v>
      </c>
      <c r="C13" s="35"/>
      <c r="D13" s="35"/>
      <c r="E13" s="35"/>
      <c r="F13" s="35"/>
      <c r="G13" s="35"/>
      <c r="H13" s="35"/>
      <c r="R13" s="13"/>
    </row>
    <row r="14" spans="2:18" x14ac:dyDescent="0.3">
      <c r="B14" s="34">
        <v>2034</v>
      </c>
      <c r="C14" s="35"/>
      <c r="D14" s="35"/>
      <c r="E14" s="35"/>
      <c r="F14" s="35"/>
      <c r="G14" s="35"/>
      <c r="H14" s="35"/>
      <c r="R14" s="13"/>
    </row>
    <row r="15" spans="2:18" x14ac:dyDescent="0.3">
      <c r="B15" s="34">
        <v>2035</v>
      </c>
      <c r="C15" s="35"/>
      <c r="D15" s="35"/>
      <c r="E15" s="35"/>
      <c r="F15" s="35"/>
      <c r="G15" s="35"/>
      <c r="H15" s="35"/>
      <c r="R15" s="13"/>
    </row>
    <row r="16" spans="2:18" x14ac:dyDescent="0.3">
      <c r="B16" s="34">
        <v>2036</v>
      </c>
      <c r="C16" s="35"/>
      <c r="D16" s="35"/>
      <c r="E16" s="35"/>
      <c r="F16" s="35"/>
      <c r="G16" s="35"/>
      <c r="H16" s="35"/>
      <c r="R16" s="13"/>
    </row>
    <row r="17" spans="2:18" x14ac:dyDescent="0.3">
      <c r="B17" s="34">
        <v>2037</v>
      </c>
      <c r="C17" s="35"/>
      <c r="D17" s="35"/>
      <c r="E17" s="35"/>
      <c r="F17" s="35"/>
      <c r="G17" s="35"/>
      <c r="H17" s="35"/>
      <c r="R17" s="13"/>
    </row>
    <row r="18" spans="2:18" x14ac:dyDescent="0.3">
      <c r="B18" s="34">
        <v>2038</v>
      </c>
      <c r="C18" s="35"/>
      <c r="D18" s="35"/>
      <c r="E18" s="35"/>
      <c r="F18" s="35"/>
      <c r="G18" s="35"/>
      <c r="H18" s="35"/>
      <c r="R18" s="13"/>
    </row>
    <row r="19" spans="2:18" x14ac:dyDescent="0.3">
      <c r="B19" s="34">
        <v>2039</v>
      </c>
      <c r="C19" s="35"/>
      <c r="D19" s="35"/>
      <c r="E19" s="35"/>
      <c r="F19" s="35"/>
      <c r="G19" s="35"/>
      <c r="H19" s="35"/>
      <c r="R19" s="13"/>
    </row>
    <row r="20" spans="2:18" x14ac:dyDescent="0.3">
      <c r="B20" s="34">
        <v>2040</v>
      </c>
      <c r="C20" s="35"/>
      <c r="D20" s="35"/>
      <c r="E20" s="35"/>
      <c r="F20" s="35"/>
      <c r="G20" s="35"/>
      <c r="H20" s="35"/>
      <c r="R20" s="13"/>
    </row>
    <row r="21" spans="2:18" x14ac:dyDescent="0.3">
      <c r="B21" s="34">
        <v>2041</v>
      </c>
      <c r="C21" s="35"/>
      <c r="D21" s="35"/>
      <c r="E21" s="35"/>
      <c r="F21" s="35"/>
      <c r="G21" s="35"/>
      <c r="H21" s="35"/>
      <c r="R21" s="13"/>
    </row>
    <row r="22" spans="2:18" x14ac:dyDescent="0.3">
      <c r="B22" s="34">
        <v>2042</v>
      </c>
      <c r="C22" s="35"/>
      <c r="D22" s="35"/>
      <c r="E22" s="35"/>
      <c r="F22" s="35"/>
      <c r="G22" s="35"/>
      <c r="H22" s="35"/>
      <c r="R22" s="13"/>
    </row>
    <row r="23" spans="2:18" x14ac:dyDescent="0.3">
      <c r="B23" s="34">
        <v>2043</v>
      </c>
      <c r="C23" s="35"/>
      <c r="D23" s="35"/>
      <c r="E23" s="35"/>
      <c r="F23" s="35"/>
      <c r="G23" s="35"/>
      <c r="H23" s="35"/>
      <c r="R23" s="13"/>
    </row>
    <row r="24" spans="2:18" x14ac:dyDescent="0.3">
      <c r="B24" s="34">
        <v>2044</v>
      </c>
      <c r="C24" s="35"/>
      <c r="D24" s="35"/>
      <c r="E24" s="35"/>
      <c r="F24" s="35"/>
      <c r="G24" s="35"/>
      <c r="H24" s="35"/>
      <c r="R24" s="13"/>
    </row>
    <row r="25" spans="2:18" x14ac:dyDescent="0.3">
      <c r="B25" s="34">
        <v>2045</v>
      </c>
      <c r="C25" s="35"/>
      <c r="D25" s="35"/>
      <c r="E25" s="35"/>
      <c r="F25" s="35"/>
      <c r="G25" s="35"/>
      <c r="H25" s="35"/>
      <c r="R25" s="13"/>
    </row>
    <row r="26" spans="2:18" x14ac:dyDescent="0.3">
      <c r="B26" s="34">
        <v>2046</v>
      </c>
      <c r="C26" s="35"/>
      <c r="D26" s="35"/>
      <c r="E26" s="35"/>
      <c r="F26" s="35"/>
      <c r="G26" s="35"/>
      <c r="H26" s="35"/>
      <c r="R26" s="13"/>
    </row>
    <row r="27" spans="2:18" x14ac:dyDescent="0.3">
      <c r="B27" s="71">
        <v>2047</v>
      </c>
      <c r="C27" s="72"/>
      <c r="D27" s="72"/>
      <c r="E27" s="72"/>
      <c r="F27" s="72"/>
      <c r="G27" s="72"/>
      <c r="H27" s="72"/>
      <c r="I27" s="40"/>
      <c r="J27" s="40"/>
      <c r="K27" s="40"/>
      <c r="L27" s="40"/>
      <c r="M27" s="40"/>
      <c r="N27" s="40"/>
      <c r="O27" s="40"/>
      <c r="P27" s="40"/>
      <c r="Q27" s="40"/>
      <c r="R27" s="41"/>
    </row>
  </sheetData>
  <sheetProtection algorithmName="SHA-512" hashValue="HTKaN2HG9x9Y0+1nucFXRKiJWcl5lvPho2IkZfMuySYJ6FlHPR/3wGVm87ciU/kktui0oKNEm7pWck0MXG9LEw==" saltValue="vmSCClo9G+lc9JuJun7BEg==" spinCount="100000" sheet="1" objects="1" scenarios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EB7EE9-BC0C-4572-A6B7-307B5ABB6C99}">
  <sheetPr>
    <tabColor rgb="FFFF0000"/>
  </sheetPr>
  <dimension ref="B2:Q14"/>
  <sheetViews>
    <sheetView tabSelected="1" topLeftCell="B1" workbookViewId="0">
      <selection activeCell="D9" sqref="D9"/>
    </sheetView>
  </sheetViews>
  <sheetFormatPr defaultRowHeight="14.4" x14ac:dyDescent="0.3"/>
  <cols>
    <col min="1" max="2" width="32" bestFit="1" customWidth="1"/>
    <col min="3" max="3" width="14" bestFit="1" customWidth="1"/>
    <col min="4" max="5" width="16.88671875" bestFit="1" customWidth="1"/>
    <col min="6" max="12" width="13.109375" bestFit="1" customWidth="1"/>
    <col min="13" max="13" width="13.88671875" bestFit="1" customWidth="1"/>
    <col min="14" max="14" width="13.109375" bestFit="1" customWidth="1"/>
    <col min="15" max="16" width="14.88671875" bestFit="1" customWidth="1"/>
    <col min="17" max="17" width="14.21875" bestFit="1" customWidth="1"/>
  </cols>
  <sheetData>
    <row r="2" spans="2:17" ht="15" thickBot="1" x14ac:dyDescent="0.35"/>
    <row r="3" spans="2:17" x14ac:dyDescent="0.3">
      <c r="B3" s="159"/>
      <c r="C3" s="152" t="s">
        <v>184</v>
      </c>
      <c r="D3" s="152" t="s">
        <v>185</v>
      </c>
      <c r="E3" s="152" t="s">
        <v>186</v>
      </c>
      <c r="F3" s="152" t="s">
        <v>187</v>
      </c>
      <c r="G3" s="152" t="s">
        <v>188</v>
      </c>
      <c r="H3" s="152" t="s">
        <v>189</v>
      </c>
      <c r="I3" s="152" t="s">
        <v>190</v>
      </c>
      <c r="J3" s="152" t="s">
        <v>191</v>
      </c>
      <c r="K3" s="152" t="s">
        <v>192</v>
      </c>
      <c r="L3" s="152" t="s">
        <v>193</v>
      </c>
      <c r="M3" s="152" t="s">
        <v>194</v>
      </c>
      <c r="N3" s="152" t="s">
        <v>195</v>
      </c>
      <c r="O3" s="152" t="s">
        <v>196</v>
      </c>
      <c r="P3" s="152" t="s">
        <v>197</v>
      </c>
      <c r="Q3" s="153" t="s">
        <v>198</v>
      </c>
    </row>
    <row r="4" spans="2:17" x14ac:dyDescent="0.3">
      <c r="B4" s="160" t="s">
        <v>462</v>
      </c>
      <c r="C4" s="149">
        <f>'Capital Cost'!C$7</f>
        <v>1725210</v>
      </c>
      <c r="D4" s="149">
        <f>'Capital Cost'!D$7</f>
        <v>572217</v>
      </c>
      <c r="E4" s="149">
        <f>'Capital Cost'!E$7</f>
        <v>1503651</v>
      </c>
      <c r="F4" s="149">
        <f>'Capital Cost'!F$7</f>
        <v>163188</v>
      </c>
      <c r="G4" s="149">
        <f>'Capital Cost'!G$7</f>
        <v>452670</v>
      </c>
      <c r="H4" s="149">
        <f>'Capital Cost'!H$7</f>
        <v>377109</v>
      </c>
      <c r="I4" s="149">
        <f>'Capital Cost'!I$7</f>
        <v>745473</v>
      </c>
      <c r="J4" s="149">
        <f>'Capital Cost'!J$7</f>
        <v>834405</v>
      </c>
      <c r="K4" s="149">
        <f>'Capital Cost'!K$7</f>
        <v>850632</v>
      </c>
      <c r="L4" s="149">
        <f>'Capital Cost'!L$7</f>
        <v>942819</v>
      </c>
      <c r="M4" s="149">
        <f>'Capital Cost'!M$7</f>
        <v>363162</v>
      </c>
      <c r="N4" s="149">
        <f>'Capital Cost'!N$7</f>
        <v>581697</v>
      </c>
      <c r="O4" s="149">
        <f>'Capital Cost'!O$7</f>
        <v>537351</v>
      </c>
      <c r="P4" s="149">
        <f>'Capital Cost'!P$7</f>
        <v>1253235</v>
      </c>
      <c r="Q4" s="154">
        <f>'Capital Cost'!Q$7</f>
        <v>1397181</v>
      </c>
    </row>
    <row r="5" spans="2:17" x14ac:dyDescent="0.3">
      <c r="B5" s="160" t="s">
        <v>458</v>
      </c>
      <c r="C5">
        <v>30</v>
      </c>
      <c r="D5">
        <v>11</v>
      </c>
      <c r="E5">
        <v>19</v>
      </c>
      <c r="F5">
        <v>7</v>
      </c>
      <c r="G5">
        <v>10</v>
      </c>
      <c r="H5">
        <v>4</v>
      </c>
      <c r="I5">
        <v>33</v>
      </c>
      <c r="J5">
        <v>16</v>
      </c>
      <c r="K5">
        <v>15</v>
      </c>
      <c r="L5">
        <v>17</v>
      </c>
      <c r="M5">
        <v>6</v>
      </c>
      <c r="N5">
        <v>11</v>
      </c>
      <c r="O5">
        <v>13</v>
      </c>
      <c r="P5">
        <v>25</v>
      </c>
      <c r="Q5" s="59">
        <v>23</v>
      </c>
    </row>
    <row r="6" spans="2:17" x14ac:dyDescent="0.3">
      <c r="B6" s="160" t="s">
        <v>459</v>
      </c>
      <c r="C6">
        <v>8</v>
      </c>
      <c r="D6">
        <v>8</v>
      </c>
      <c r="E6">
        <v>8</v>
      </c>
      <c r="F6">
        <v>8</v>
      </c>
      <c r="G6">
        <v>8</v>
      </c>
      <c r="H6">
        <v>8</v>
      </c>
      <c r="I6">
        <v>8</v>
      </c>
      <c r="J6">
        <v>8</v>
      </c>
      <c r="K6">
        <v>8</v>
      </c>
      <c r="L6">
        <v>8</v>
      </c>
      <c r="M6">
        <v>8</v>
      </c>
      <c r="N6">
        <v>8</v>
      </c>
      <c r="O6">
        <v>8</v>
      </c>
      <c r="P6">
        <v>8</v>
      </c>
      <c r="Q6" s="59">
        <v>8</v>
      </c>
    </row>
    <row r="7" spans="2:17" x14ac:dyDescent="0.3">
      <c r="B7" s="160" t="s">
        <v>460</v>
      </c>
      <c r="C7" s="155">
        <v>45</v>
      </c>
      <c r="D7" s="155">
        <v>45</v>
      </c>
      <c r="E7" s="155">
        <v>45</v>
      </c>
      <c r="F7" s="155">
        <v>45</v>
      </c>
      <c r="G7" s="155">
        <v>45</v>
      </c>
      <c r="H7" s="155">
        <v>45</v>
      </c>
      <c r="I7" s="155">
        <v>45</v>
      </c>
      <c r="J7" s="155">
        <v>45</v>
      </c>
      <c r="K7" s="155">
        <v>45</v>
      </c>
      <c r="L7" s="155">
        <v>45</v>
      </c>
      <c r="M7" s="155">
        <v>45</v>
      </c>
      <c r="N7" s="155">
        <v>45</v>
      </c>
      <c r="O7" s="155">
        <v>45</v>
      </c>
      <c r="P7" s="155">
        <v>45</v>
      </c>
      <c r="Q7" s="156">
        <v>45</v>
      </c>
    </row>
    <row r="8" spans="2:17" x14ac:dyDescent="0.3">
      <c r="B8" s="160" t="s">
        <v>463</v>
      </c>
      <c r="C8" s="155">
        <f>C5*C6*C7</f>
        <v>10800</v>
      </c>
      <c r="D8" s="155">
        <f t="shared" ref="D8:P8" si="0">D5*D6*D7</f>
        <v>3960</v>
      </c>
      <c r="E8" s="155">
        <f t="shared" si="0"/>
        <v>6840</v>
      </c>
      <c r="F8" s="155">
        <f t="shared" si="0"/>
        <v>2520</v>
      </c>
      <c r="G8" s="155">
        <f t="shared" si="0"/>
        <v>3600</v>
      </c>
      <c r="H8" s="155">
        <f t="shared" si="0"/>
        <v>1440</v>
      </c>
      <c r="I8" s="155">
        <f t="shared" si="0"/>
        <v>11880</v>
      </c>
      <c r="J8" s="155">
        <f t="shared" si="0"/>
        <v>5760</v>
      </c>
      <c r="K8" s="155">
        <f t="shared" si="0"/>
        <v>5400</v>
      </c>
      <c r="L8" s="155">
        <f t="shared" si="0"/>
        <v>6120</v>
      </c>
      <c r="M8" s="155">
        <f t="shared" si="0"/>
        <v>2160</v>
      </c>
      <c r="N8" s="155">
        <f t="shared" si="0"/>
        <v>3960</v>
      </c>
      <c r="O8" s="155">
        <f t="shared" si="0"/>
        <v>4680</v>
      </c>
      <c r="P8" s="155">
        <f t="shared" si="0"/>
        <v>9000</v>
      </c>
      <c r="Q8" s="156">
        <f>Q5*Q6*Q7</f>
        <v>8280</v>
      </c>
    </row>
    <row r="9" spans="2:17" x14ac:dyDescent="0.3">
      <c r="B9" s="160" t="s">
        <v>465</v>
      </c>
      <c r="C9" s="155">
        <f>C4*0.001</f>
        <v>1725.21</v>
      </c>
      <c r="D9" s="155">
        <f t="shared" ref="D9:Q9" si="1">D4*0.001</f>
        <v>572.21699999999998</v>
      </c>
      <c r="E9" s="155">
        <f t="shared" si="1"/>
        <v>1503.6510000000001</v>
      </c>
      <c r="F9" s="155">
        <f t="shared" si="1"/>
        <v>163.18800000000002</v>
      </c>
      <c r="G9" s="155">
        <f t="shared" si="1"/>
        <v>452.67</v>
      </c>
      <c r="H9" s="155">
        <f t="shared" si="1"/>
        <v>377.10899999999998</v>
      </c>
      <c r="I9" s="155">
        <f t="shared" si="1"/>
        <v>745.47300000000007</v>
      </c>
      <c r="J9" s="155">
        <f t="shared" si="1"/>
        <v>834.40499999999997</v>
      </c>
      <c r="K9" s="155">
        <f t="shared" si="1"/>
        <v>850.63200000000006</v>
      </c>
      <c r="L9" s="155">
        <f t="shared" si="1"/>
        <v>942.81900000000007</v>
      </c>
      <c r="M9" s="155">
        <f t="shared" si="1"/>
        <v>363.16200000000003</v>
      </c>
      <c r="N9" s="155">
        <f t="shared" si="1"/>
        <v>581.697</v>
      </c>
      <c r="O9" s="155">
        <f t="shared" si="1"/>
        <v>537.351</v>
      </c>
      <c r="P9" s="155">
        <f t="shared" si="1"/>
        <v>1253.2350000000001</v>
      </c>
      <c r="Q9" s="156">
        <f t="shared" si="1"/>
        <v>1397.181</v>
      </c>
    </row>
    <row r="10" spans="2:17" ht="15" thickBot="1" x14ac:dyDescent="0.35">
      <c r="B10" s="161" t="s">
        <v>461</v>
      </c>
      <c r="C10" s="157">
        <f>C5*C6*C7+C9</f>
        <v>12525.21</v>
      </c>
      <c r="D10" s="157">
        <f t="shared" ref="D10:Q10" si="2">D5*D6*D7+D9</f>
        <v>4532.2169999999996</v>
      </c>
      <c r="E10" s="157">
        <f t="shared" si="2"/>
        <v>8343.6509999999998</v>
      </c>
      <c r="F10" s="157">
        <f t="shared" si="2"/>
        <v>2683.1880000000001</v>
      </c>
      <c r="G10" s="157">
        <f t="shared" si="2"/>
        <v>4052.67</v>
      </c>
      <c r="H10" s="157">
        <f t="shared" si="2"/>
        <v>1817.1089999999999</v>
      </c>
      <c r="I10" s="157">
        <f t="shared" si="2"/>
        <v>12625.473</v>
      </c>
      <c r="J10" s="157">
        <f t="shared" si="2"/>
        <v>6594.4049999999997</v>
      </c>
      <c r="K10" s="157">
        <f t="shared" si="2"/>
        <v>6250.6319999999996</v>
      </c>
      <c r="L10" s="157">
        <f t="shared" si="2"/>
        <v>7062.8190000000004</v>
      </c>
      <c r="M10" s="157">
        <f t="shared" si="2"/>
        <v>2523.1620000000003</v>
      </c>
      <c r="N10" s="157">
        <f t="shared" si="2"/>
        <v>4541.6970000000001</v>
      </c>
      <c r="O10" s="157">
        <f t="shared" si="2"/>
        <v>5217.3509999999997</v>
      </c>
      <c r="P10" s="157">
        <f t="shared" si="2"/>
        <v>10253.235000000001</v>
      </c>
      <c r="Q10" s="158">
        <f t="shared" si="2"/>
        <v>9677.1810000000005</v>
      </c>
    </row>
    <row r="12" spans="2:17" x14ac:dyDescent="0.3">
      <c r="C12" s="251" t="s">
        <v>466</v>
      </c>
      <c r="D12" s="251"/>
      <c r="E12" s="251"/>
      <c r="F12" s="251"/>
      <c r="G12" s="251"/>
      <c r="H12" s="251"/>
      <c r="I12" s="251"/>
    </row>
    <row r="13" spans="2:17" x14ac:dyDescent="0.3">
      <c r="C13" s="251"/>
      <c r="D13" s="251"/>
      <c r="E13" s="251"/>
      <c r="F13" s="251"/>
      <c r="G13" s="251"/>
      <c r="H13" s="251"/>
      <c r="I13" s="251"/>
    </row>
    <row r="14" spans="2:17" x14ac:dyDescent="0.3">
      <c r="C14" s="251"/>
      <c r="D14" s="251"/>
      <c r="E14" s="251"/>
      <c r="F14" s="251"/>
      <c r="G14" s="251"/>
      <c r="H14" s="251"/>
      <c r="I14" s="251"/>
    </row>
  </sheetData>
  <sheetProtection algorithmName="SHA-512" hashValue="Rw2gM+tsX3tnhvPD+0zEhUBHK6kf5CB+EOq3Ydbk3MtG3jae/ThrMHFlDBsZekAaozcO2RkmCXlhCX+qklkwHg==" saltValue="O7OSE0mvC5dllnkuORSVDg==" spinCount="100000" sheet="1" objects="1" scenarios="1"/>
  <mergeCells count="1">
    <mergeCell ref="C12:I14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83CC2F-9DB2-4200-AECA-77903696028E}">
  <sheetPr>
    <tabColor rgb="FF92D050"/>
  </sheetPr>
  <dimension ref="B1:AI18"/>
  <sheetViews>
    <sheetView workbookViewId="0">
      <selection activeCell="C3" sqref="C3"/>
    </sheetView>
  </sheetViews>
  <sheetFormatPr defaultColWidth="9.109375" defaultRowHeight="14.4" x14ac:dyDescent="0.3"/>
  <cols>
    <col min="2" max="2" width="38.88671875" customWidth="1"/>
    <col min="3" max="3" width="18.6640625" customWidth="1"/>
    <col min="4" max="4" width="16.5546875" bestFit="1" customWidth="1"/>
    <col min="5" max="5" width="19" bestFit="1" customWidth="1"/>
    <col min="6" max="6" width="19.21875" customWidth="1"/>
    <col min="7" max="7" width="10.44140625" bestFit="1" customWidth="1"/>
    <col min="8" max="8" width="11.6640625" customWidth="1"/>
    <col min="9" max="9" width="12.109375" customWidth="1"/>
    <col min="10" max="10" width="13.88671875" customWidth="1"/>
    <col min="11" max="11" width="14" customWidth="1"/>
    <col min="12" max="12" width="12.109375" customWidth="1"/>
    <col min="13" max="13" width="9.6640625" customWidth="1"/>
    <col min="14" max="14" width="13.44140625" customWidth="1"/>
    <col min="15" max="15" width="12.44140625" customWidth="1"/>
    <col min="16" max="16" width="12.21875" customWidth="1"/>
    <col min="17" max="17" width="9.21875" customWidth="1"/>
    <col min="18" max="18" width="11" customWidth="1"/>
    <col min="19" max="19" width="63.109375" customWidth="1"/>
    <col min="20" max="20" width="18.5546875" bestFit="1" customWidth="1"/>
    <col min="21" max="21" width="15.5546875" hidden="1" customWidth="1"/>
    <col min="22" max="22" width="13.88671875" customWidth="1"/>
    <col min="23" max="23" width="11.21875" customWidth="1"/>
    <col min="24" max="26" width="11.109375" hidden="1" customWidth="1"/>
    <col min="27" max="27" width="12.21875" hidden="1" customWidth="1"/>
    <col min="28" max="28" width="16.44140625" hidden="1" customWidth="1"/>
    <col min="29" max="29" width="13.6640625" bestFit="1" customWidth="1"/>
    <col min="30" max="30" width="6.109375" hidden="1" customWidth="1"/>
    <col min="31" max="31" width="13.44140625" hidden="1" customWidth="1"/>
    <col min="32" max="32" width="16" hidden="1" customWidth="1"/>
    <col min="33" max="33" width="9" hidden="1" customWidth="1"/>
    <col min="34" max="34" width="10.88671875" hidden="1" customWidth="1"/>
    <col min="35" max="35" width="8.5546875" hidden="1" customWidth="1"/>
    <col min="36" max="36" width="12.44140625" bestFit="1" customWidth="1"/>
    <col min="37" max="37" width="8" bestFit="1" customWidth="1"/>
    <col min="38" max="38" width="8.6640625" bestFit="1" customWidth="1"/>
    <col min="39" max="39" width="14.5546875" bestFit="1" customWidth="1"/>
    <col min="40" max="40" width="17.109375" bestFit="1" customWidth="1"/>
  </cols>
  <sheetData>
    <row r="1" spans="2:7" ht="15" thickBot="1" x14ac:dyDescent="0.35"/>
    <row r="2" spans="2:7" ht="28.8" x14ac:dyDescent="0.3">
      <c r="B2" s="150"/>
      <c r="C2" s="152" t="s">
        <v>434</v>
      </c>
      <c r="D2" s="152" t="s">
        <v>435</v>
      </c>
      <c r="E2" s="152" t="s">
        <v>436</v>
      </c>
      <c r="F2" s="176" t="s">
        <v>455</v>
      </c>
    </row>
    <row r="3" spans="2:7" x14ac:dyDescent="0.3">
      <c r="B3" s="19" t="s">
        <v>433</v>
      </c>
      <c r="C3" s="148">
        <f>SUM(D6:D17)</f>
        <v>1100577</v>
      </c>
      <c r="D3" s="148">
        <f>SUM(G6:G17)</f>
        <v>1366481</v>
      </c>
      <c r="E3" s="133">
        <f>D3/C3-1</f>
        <v>0.24160417671821244</v>
      </c>
      <c r="F3" s="169">
        <f>((D3/C3)^(1/30)-1)</f>
        <v>7.2395542586551898E-3</v>
      </c>
    </row>
    <row r="4" spans="2:7" ht="15" thickBot="1" x14ac:dyDescent="0.35">
      <c r="B4" s="19" t="s">
        <v>182</v>
      </c>
      <c r="C4" s="148">
        <f>D18</f>
        <v>10463226</v>
      </c>
      <c r="D4" s="148">
        <f>G18</f>
        <v>14012819</v>
      </c>
      <c r="E4" s="133">
        <f>D4/C4-1</f>
        <v>0.33924460773379073</v>
      </c>
      <c r="F4" s="169">
        <f>((D4/C4)^(1/30)-1)</f>
        <v>9.7844150743349179E-3</v>
      </c>
    </row>
    <row r="5" spans="2:7" ht="43.2" x14ac:dyDescent="0.3">
      <c r="B5" s="178" t="s">
        <v>432</v>
      </c>
      <c r="C5" s="168" t="s">
        <v>163</v>
      </c>
      <c r="D5" s="168" t="s">
        <v>164</v>
      </c>
      <c r="E5" s="168" t="s">
        <v>165</v>
      </c>
      <c r="F5" s="168" t="s">
        <v>166</v>
      </c>
      <c r="G5" s="176" t="s">
        <v>167</v>
      </c>
    </row>
    <row r="6" spans="2:7" x14ac:dyDescent="0.3">
      <c r="B6" s="19" t="s">
        <v>53</v>
      </c>
      <c r="C6" t="s">
        <v>168</v>
      </c>
      <c r="D6" s="148">
        <v>44669</v>
      </c>
      <c r="E6" s="148">
        <v>43165</v>
      </c>
      <c r="F6" s="148">
        <v>41627</v>
      </c>
      <c r="G6" s="179">
        <v>40088</v>
      </c>
    </row>
    <row r="7" spans="2:7" x14ac:dyDescent="0.3">
      <c r="B7" s="19" t="s">
        <v>51</v>
      </c>
      <c r="C7" t="s">
        <v>169</v>
      </c>
      <c r="D7" s="148">
        <v>76544</v>
      </c>
      <c r="E7" s="148">
        <v>89167</v>
      </c>
      <c r="F7" s="148">
        <v>102379</v>
      </c>
      <c r="G7" s="179">
        <v>115545</v>
      </c>
    </row>
    <row r="8" spans="2:7" x14ac:dyDescent="0.3">
      <c r="B8" s="19" t="s">
        <v>44</v>
      </c>
      <c r="C8" t="s">
        <v>170</v>
      </c>
      <c r="D8" s="148">
        <v>169178</v>
      </c>
      <c r="E8" s="148">
        <v>184106</v>
      </c>
      <c r="F8" s="148">
        <v>198719</v>
      </c>
      <c r="G8" s="179">
        <v>213330</v>
      </c>
    </row>
    <row r="9" spans="2:7" x14ac:dyDescent="0.3">
      <c r="B9" s="19" t="s">
        <v>46</v>
      </c>
      <c r="C9" t="s">
        <v>171</v>
      </c>
      <c r="D9" s="148">
        <v>61059</v>
      </c>
      <c r="E9" s="148">
        <v>67873</v>
      </c>
      <c r="F9" s="148">
        <v>75153</v>
      </c>
      <c r="G9" s="179">
        <v>82432</v>
      </c>
    </row>
    <row r="10" spans="2:7" x14ac:dyDescent="0.3">
      <c r="B10" s="19" t="s">
        <v>172</v>
      </c>
      <c r="C10" t="s">
        <v>173</v>
      </c>
      <c r="D10" s="148">
        <v>48581</v>
      </c>
      <c r="E10" s="148">
        <v>44375</v>
      </c>
      <c r="F10" s="148">
        <v>40110</v>
      </c>
      <c r="G10" s="179">
        <v>35845</v>
      </c>
    </row>
    <row r="11" spans="2:7" x14ac:dyDescent="0.3">
      <c r="B11" s="19" t="s">
        <v>174</v>
      </c>
      <c r="C11" t="s">
        <v>175</v>
      </c>
      <c r="D11" s="148">
        <v>217033</v>
      </c>
      <c r="E11" s="148">
        <v>282334</v>
      </c>
      <c r="F11" s="148">
        <v>331491</v>
      </c>
      <c r="G11" s="179">
        <v>380597</v>
      </c>
    </row>
    <row r="12" spans="2:7" x14ac:dyDescent="0.3">
      <c r="B12" s="19" t="s">
        <v>43</v>
      </c>
      <c r="C12" t="s">
        <v>176</v>
      </c>
      <c r="D12" s="148">
        <v>55094</v>
      </c>
      <c r="E12" s="148">
        <v>52357</v>
      </c>
      <c r="F12" s="148">
        <v>49587</v>
      </c>
      <c r="G12" s="179">
        <v>46813</v>
      </c>
    </row>
    <row r="13" spans="2:7" x14ac:dyDescent="0.3">
      <c r="B13" s="19" t="s">
        <v>177</v>
      </c>
      <c r="C13" t="s">
        <v>178</v>
      </c>
      <c r="D13" s="148">
        <v>42915</v>
      </c>
      <c r="E13" s="148">
        <v>40794</v>
      </c>
      <c r="F13" s="148">
        <v>38874</v>
      </c>
      <c r="G13" s="179">
        <v>36952</v>
      </c>
    </row>
    <row r="14" spans="2:7" x14ac:dyDescent="0.3">
      <c r="B14" s="19" t="s">
        <v>45</v>
      </c>
      <c r="C14" t="s">
        <v>179</v>
      </c>
      <c r="D14" s="148">
        <v>116500</v>
      </c>
      <c r="E14" s="148">
        <v>119335</v>
      </c>
      <c r="F14" s="148">
        <v>120492</v>
      </c>
      <c r="G14" s="179">
        <v>120890</v>
      </c>
    </row>
    <row r="15" spans="2:7" x14ac:dyDescent="0.3">
      <c r="B15" s="19" t="s">
        <v>49</v>
      </c>
      <c r="C15" t="s">
        <v>180</v>
      </c>
      <c r="D15" s="148">
        <v>147043</v>
      </c>
      <c r="E15" s="148">
        <v>155790</v>
      </c>
      <c r="F15" s="148">
        <v>164172</v>
      </c>
      <c r="G15" s="179">
        <v>172453</v>
      </c>
    </row>
    <row r="16" spans="2:7" x14ac:dyDescent="0.3">
      <c r="B16" s="19" t="s">
        <v>42</v>
      </c>
      <c r="C16" t="s">
        <v>181</v>
      </c>
      <c r="D16" s="148">
        <v>42587</v>
      </c>
      <c r="E16" s="148">
        <v>41266</v>
      </c>
      <c r="F16" s="148">
        <v>41177</v>
      </c>
      <c r="G16" s="179">
        <v>41171</v>
      </c>
    </row>
    <row r="17" spans="2:7" ht="15" thickBot="1" x14ac:dyDescent="0.35">
      <c r="B17" s="167" t="s">
        <v>55</v>
      </c>
      <c r="C17" s="20" t="s">
        <v>55</v>
      </c>
      <c r="D17" s="177">
        <v>79374</v>
      </c>
      <c r="E17" s="177">
        <v>75760</v>
      </c>
      <c r="F17" s="177">
        <v>77288</v>
      </c>
      <c r="G17" s="180">
        <v>80365</v>
      </c>
    </row>
    <row r="18" spans="2:7" ht="15" thickBot="1" x14ac:dyDescent="0.35">
      <c r="C18" s="181" t="s">
        <v>182</v>
      </c>
      <c r="D18" s="182">
        <v>10463226</v>
      </c>
      <c r="E18" s="182">
        <v>11625716</v>
      </c>
      <c r="F18" s="182">
        <v>12817720</v>
      </c>
      <c r="G18" s="183">
        <v>14012819</v>
      </c>
    </row>
  </sheetData>
  <sheetProtection algorithmName="SHA-512" hashValue="5BMBoOYMRKLE6oYFYXlfyBirzyJJsizWQh2aF2Smx8q6T/j/zeQxJa6zZoDMYQv5MRTLMZvI6dgnFU3Xmrz90w==" saltValue="YHwWJcFpZEQFRt+GWPL4Qw==" spinCount="100000" sheet="1" objects="1" scenarios="1"/>
  <pageMargins left="0.75" right="0.75" top="1" bottom="1" header="0.5" footer="0.5"/>
  <pageSetup orientation="portrait" horizontalDpi="4294967293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0A3C2A-995F-4F25-92B6-CF1885A44974}">
  <sheetPr>
    <tabColor rgb="FF92D050"/>
  </sheetPr>
  <dimension ref="A1:AR62"/>
  <sheetViews>
    <sheetView topLeftCell="A18" zoomScale="85" zoomScaleNormal="85" workbookViewId="0">
      <selection activeCell="L34" sqref="L34"/>
    </sheetView>
  </sheetViews>
  <sheetFormatPr defaultColWidth="38.44140625" defaultRowHeight="14.4" x14ac:dyDescent="0.3"/>
  <cols>
    <col min="1" max="1" width="32.21875" customWidth="1"/>
    <col min="2" max="2" width="21.88671875" bestFit="1" customWidth="1"/>
    <col min="3" max="4" width="2" bestFit="1" customWidth="1"/>
    <col min="5" max="5" width="3.109375" bestFit="1" customWidth="1"/>
    <col min="6" max="7" width="4.109375" bestFit="1" customWidth="1"/>
    <col min="8" max="8" width="13.88671875" customWidth="1"/>
    <col min="9" max="9" width="5.88671875" customWidth="1"/>
    <col min="10" max="10" width="28" style="3" customWidth="1"/>
    <col min="11" max="11" width="11.44140625" bestFit="1" customWidth="1"/>
    <col min="12" max="12" width="30.109375" customWidth="1"/>
    <col min="13" max="13" width="27.88671875" customWidth="1"/>
    <col min="14" max="14" width="12.5546875" bestFit="1" customWidth="1"/>
    <col min="15" max="16" width="3.6640625" bestFit="1" customWidth="1"/>
    <col min="17" max="17" width="6.109375" bestFit="1" customWidth="1"/>
    <col min="18" max="19" width="7.109375" bestFit="1" customWidth="1"/>
    <col min="20" max="20" width="13.109375" bestFit="1" customWidth="1"/>
    <col min="21" max="21" width="15.5546875" bestFit="1" customWidth="1"/>
    <col min="22" max="22" width="15.21875" bestFit="1" customWidth="1"/>
    <col min="23" max="24" width="3.6640625" bestFit="1" customWidth="1"/>
    <col min="25" max="25" width="4.44140625" bestFit="1" customWidth="1"/>
    <col min="26" max="26" width="17.88671875" customWidth="1"/>
    <col min="27" max="27" width="12.109375" bestFit="1" customWidth="1"/>
    <col min="28" max="28" width="13.88671875" bestFit="1" customWidth="1"/>
    <col min="29" max="29" width="25.44140625" bestFit="1" customWidth="1"/>
    <col min="30" max="30" width="12.109375" bestFit="1" customWidth="1"/>
    <col min="35" max="40" width="5.44140625" bestFit="1" customWidth="1"/>
    <col min="41" max="41" width="25.44140625" bestFit="1" customWidth="1"/>
    <col min="42" max="42" width="12.109375" bestFit="1" customWidth="1"/>
    <col min="43" max="43" width="25.44140625" bestFit="1" customWidth="1"/>
    <col min="44" max="44" width="12.109375" bestFit="1" customWidth="1"/>
  </cols>
  <sheetData>
    <row r="1" spans="1:22" x14ac:dyDescent="0.3">
      <c r="A1" s="1"/>
    </row>
    <row r="2" spans="1:22" x14ac:dyDescent="0.3">
      <c r="M2" s="4" t="s">
        <v>6</v>
      </c>
      <c r="N2" s="5" t="s">
        <v>470</v>
      </c>
    </row>
    <row r="3" spans="1:22" x14ac:dyDescent="0.3">
      <c r="M3" s="6" t="s">
        <v>7</v>
      </c>
      <c r="N3" s="7">
        <v>11800000</v>
      </c>
    </row>
    <row r="4" spans="1:22" x14ac:dyDescent="0.3">
      <c r="C4" s="8"/>
      <c r="E4" s="8"/>
      <c r="M4" s="6" t="s">
        <v>8</v>
      </c>
      <c r="N4" s="7">
        <v>564300</v>
      </c>
    </row>
    <row r="5" spans="1:22" x14ac:dyDescent="0.3">
      <c r="C5" s="8"/>
      <c r="E5" s="8"/>
      <c r="M5" s="6" t="s">
        <v>9</v>
      </c>
      <c r="N5" s="7">
        <v>153700</v>
      </c>
    </row>
    <row r="6" spans="1:22" x14ac:dyDescent="0.3">
      <c r="C6" s="8"/>
      <c r="E6" s="8"/>
      <c r="M6" s="6" t="s">
        <v>10</v>
      </c>
      <c r="N6" s="7">
        <v>78500</v>
      </c>
    </row>
    <row r="7" spans="1:22" x14ac:dyDescent="0.3">
      <c r="C7" s="8"/>
      <c r="E7" s="9"/>
      <c r="M7" s="6" t="s">
        <v>11</v>
      </c>
      <c r="N7" s="7">
        <v>4000</v>
      </c>
    </row>
    <row r="8" spans="1:22" x14ac:dyDescent="0.3">
      <c r="C8" s="8"/>
      <c r="E8" s="8"/>
      <c r="M8" s="6" t="s">
        <v>12</v>
      </c>
      <c r="N8" s="7">
        <v>213900</v>
      </c>
    </row>
    <row r="9" spans="1:22" x14ac:dyDescent="0.3">
      <c r="C9" s="8"/>
      <c r="E9" s="8"/>
      <c r="M9" s="10" t="s">
        <v>13</v>
      </c>
      <c r="N9" s="11">
        <v>4800</v>
      </c>
    </row>
    <row r="10" spans="1:22" x14ac:dyDescent="0.3">
      <c r="M10" t="s">
        <v>23</v>
      </c>
    </row>
    <row r="11" spans="1:22" ht="15" thickBot="1" x14ac:dyDescent="0.35">
      <c r="B11" s="232" t="s">
        <v>14</v>
      </c>
      <c r="C11" s="232"/>
      <c r="D11" s="232"/>
      <c r="E11" s="232"/>
      <c r="F11" s="232"/>
      <c r="G11" s="232"/>
      <c r="H11" s="232"/>
      <c r="I11" s="106"/>
      <c r="O11" s="232" t="s">
        <v>15</v>
      </c>
      <c r="P11" s="232"/>
      <c r="Q11" s="232"/>
      <c r="R11" s="232"/>
      <c r="S11" s="232"/>
      <c r="T11" s="232"/>
    </row>
    <row r="12" spans="1:22" s="14" customFormat="1" ht="43.2" x14ac:dyDescent="0.3">
      <c r="A12" s="184" t="s">
        <v>24</v>
      </c>
      <c r="B12" s="185" t="s">
        <v>25</v>
      </c>
      <c r="C12" s="186" t="s">
        <v>7</v>
      </c>
      <c r="D12" s="186" t="s">
        <v>8</v>
      </c>
      <c r="E12" s="186" t="s">
        <v>16</v>
      </c>
      <c r="F12" s="186" t="s">
        <v>10</v>
      </c>
      <c r="G12" s="186" t="s">
        <v>11</v>
      </c>
      <c r="H12" s="186" t="s">
        <v>428</v>
      </c>
      <c r="I12" s="186" t="s">
        <v>13</v>
      </c>
      <c r="J12" s="187" t="s">
        <v>17</v>
      </c>
      <c r="K12" s="186" t="s">
        <v>18</v>
      </c>
      <c r="L12" s="188" t="s">
        <v>56</v>
      </c>
      <c r="M12" s="188" t="s">
        <v>19</v>
      </c>
      <c r="N12" s="188" t="s">
        <v>2</v>
      </c>
      <c r="O12" s="186" t="s">
        <v>7</v>
      </c>
      <c r="P12" s="186" t="s">
        <v>8</v>
      </c>
      <c r="Q12" s="186" t="s">
        <v>16</v>
      </c>
      <c r="R12" s="186" t="s">
        <v>10</v>
      </c>
      <c r="S12" s="186" t="s">
        <v>11</v>
      </c>
      <c r="T12" s="186" t="s">
        <v>428</v>
      </c>
      <c r="U12" s="186" t="s">
        <v>20</v>
      </c>
      <c r="V12" s="189" t="s">
        <v>21</v>
      </c>
    </row>
    <row r="13" spans="1:22" x14ac:dyDescent="0.3">
      <c r="A13" s="190" t="s">
        <v>27</v>
      </c>
      <c r="B13" s="99">
        <f>SUM(C13:H13)</f>
        <v>20</v>
      </c>
      <c r="C13" s="99">
        <v>2</v>
      </c>
      <c r="D13" s="99">
        <v>1</v>
      </c>
      <c r="E13" s="99">
        <v>5</v>
      </c>
      <c r="F13" s="99">
        <v>9</v>
      </c>
      <c r="G13" s="99">
        <v>3</v>
      </c>
      <c r="H13" s="99"/>
      <c r="I13" s="99"/>
      <c r="J13" s="108" t="s">
        <v>429</v>
      </c>
      <c r="K13" s="102">
        <f>(C13*$N$3+D13*$N$4+E13*$N$5+F13*$N$6+G13*$N$7+H13*$N$8+I13*$N$9)/10</f>
        <v>2565130</v>
      </c>
      <c r="L13" s="103" t="s">
        <v>57</v>
      </c>
      <c r="M13" s="103" t="s">
        <v>5</v>
      </c>
      <c r="N13" s="100">
        <f>'Safety CMFs'!$C$2</f>
        <v>0.5</v>
      </c>
      <c r="O13" s="99">
        <f>$C13*$N13</f>
        <v>1</v>
      </c>
      <c r="P13" s="99">
        <f>$D13*$N13</f>
        <v>0.5</v>
      </c>
      <c r="Q13" s="99">
        <f>$E13*$N13</f>
        <v>2.5</v>
      </c>
      <c r="R13" s="99">
        <f>$F13*$N13</f>
        <v>4.5</v>
      </c>
      <c r="S13" s="99">
        <f>$G13*$N13</f>
        <v>1.5</v>
      </c>
      <c r="T13" s="99">
        <f t="shared" ref="T13:T27" si="0">H13*$N$13</f>
        <v>0</v>
      </c>
      <c r="U13" s="109">
        <f>(O13*$N$3+P13*$N$4+Q13*$N$5+R13*$N$6+S13*$N$7+T13*$N$8)/10</f>
        <v>1282565</v>
      </c>
      <c r="V13" s="191">
        <f t="shared" ref="V13:V27" si="1">K13-U13</f>
        <v>1282565</v>
      </c>
    </row>
    <row r="14" spans="1:22" x14ac:dyDescent="0.3">
      <c r="A14" s="190" t="s">
        <v>28</v>
      </c>
      <c r="B14" s="99">
        <f t="shared" ref="B14:B27" si="2">SUM(C14:H14)</f>
        <v>3</v>
      </c>
      <c r="C14" s="99"/>
      <c r="D14" s="99">
        <v>2</v>
      </c>
      <c r="E14" s="99"/>
      <c r="F14" s="99">
        <v>1</v>
      </c>
      <c r="G14" s="99"/>
      <c r="H14" s="99"/>
      <c r="I14" s="99"/>
      <c r="J14" s="108" t="s">
        <v>429</v>
      </c>
      <c r="K14" s="102">
        <f t="shared" ref="K14:K27" si="3">(C14*$N$3+D14*$N$4+E14*$N$5+F14*$N$6+G14*$N$7+H14*$N$8+I14*$N$9)/10</f>
        <v>120710</v>
      </c>
      <c r="L14" s="103" t="s">
        <v>57</v>
      </c>
      <c r="M14" s="103" t="s">
        <v>5</v>
      </c>
      <c r="N14" s="100">
        <f>'Safety CMFs'!$C$2</f>
        <v>0.5</v>
      </c>
      <c r="O14" s="99">
        <f t="shared" ref="O14:O27" si="4">$C14*$N14</f>
        <v>0</v>
      </c>
      <c r="P14" s="99">
        <f>$D14*$N14</f>
        <v>1</v>
      </c>
      <c r="Q14" s="99">
        <f t="shared" ref="Q14:Q27" si="5">$E14*$N14</f>
        <v>0</v>
      </c>
      <c r="R14" s="99">
        <f t="shared" ref="R14:R27" si="6">$F14*$N14</f>
        <v>0.5</v>
      </c>
      <c r="S14" s="99">
        <f t="shared" ref="S14:S26" si="7">$G14*$N14</f>
        <v>0</v>
      </c>
      <c r="T14" s="99">
        <f t="shared" si="0"/>
        <v>0</v>
      </c>
      <c r="U14" s="109">
        <f t="shared" ref="U14:U27" si="8">(O14*$N$3+P14*$N$4+Q14*$N$5+R14*$N$6+S14*$N$7+T14*$N$8)/10</f>
        <v>60355</v>
      </c>
      <c r="V14" s="191">
        <f t="shared" si="1"/>
        <v>60355</v>
      </c>
    </row>
    <row r="15" spans="1:22" x14ac:dyDescent="0.3">
      <c r="A15" s="190" t="s">
        <v>35</v>
      </c>
      <c r="B15" s="99">
        <f t="shared" si="2"/>
        <v>8</v>
      </c>
      <c r="C15" s="99">
        <v>1</v>
      </c>
      <c r="D15" s="99"/>
      <c r="E15" s="99">
        <v>1</v>
      </c>
      <c r="F15" s="99">
        <v>3</v>
      </c>
      <c r="G15" s="99">
        <v>2</v>
      </c>
      <c r="H15" s="99">
        <v>1</v>
      </c>
      <c r="I15" s="99"/>
      <c r="J15" s="108" t="s">
        <v>429</v>
      </c>
      <c r="K15" s="102">
        <f t="shared" si="3"/>
        <v>1241110</v>
      </c>
      <c r="L15" s="103" t="s">
        <v>57</v>
      </c>
      <c r="M15" s="103" t="s">
        <v>5</v>
      </c>
      <c r="N15" s="100">
        <f>'Safety CMFs'!$C$2</f>
        <v>0.5</v>
      </c>
      <c r="O15" s="99">
        <f t="shared" si="4"/>
        <v>0.5</v>
      </c>
      <c r="P15" s="99">
        <f t="shared" ref="P15:P27" si="9">$D15*$N15</f>
        <v>0</v>
      </c>
      <c r="Q15" s="99">
        <f t="shared" si="5"/>
        <v>0.5</v>
      </c>
      <c r="R15" s="99">
        <f t="shared" si="6"/>
        <v>1.5</v>
      </c>
      <c r="S15" s="99">
        <f t="shared" si="7"/>
        <v>1</v>
      </c>
      <c r="T15" s="99">
        <f t="shared" si="0"/>
        <v>0.5</v>
      </c>
      <c r="U15" s="109">
        <f t="shared" si="8"/>
        <v>620555</v>
      </c>
      <c r="V15" s="191">
        <f t="shared" si="1"/>
        <v>620555</v>
      </c>
    </row>
    <row r="16" spans="1:22" x14ac:dyDescent="0.3">
      <c r="A16" s="190" t="s">
        <v>36</v>
      </c>
      <c r="B16" s="99">
        <f t="shared" si="2"/>
        <v>1</v>
      </c>
      <c r="C16" s="99"/>
      <c r="D16" s="99"/>
      <c r="E16" s="99">
        <v>1</v>
      </c>
      <c r="F16" s="99"/>
      <c r="G16" s="99"/>
      <c r="H16" s="99"/>
      <c r="I16" s="99"/>
      <c r="J16" s="108" t="s">
        <v>429</v>
      </c>
      <c r="K16" s="102">
        <f t="shared" si="3"/>
        <v>15370</v>
      </c>
      <c r="L16" s="103" t="s">
        <v>57</v>
      </c>
      <c r="M16" s="103" t="s">
        <v>5</v>
      </c>
      <c r="N16" s="100">
        <f>'Safety CMFs'!$C$2</f>
        <v>0.5</v>
      </c>
      <c r="O16" s="99">
        <f t="shared" si="4"/>
        <v>0</v>
      </c>
      <c r="P16" s="99">
        <f t="shared" si="9"/>
        <v>0</v>
      </c>
      <c r="Q16" s="99">
        <f t="shared" si="5"/>
        <v>0.5</v>
      </c>
      <c r="R16" s="99">
        <f t="shared" si="6"/>
        <v>0</v>
      </c>
      <c r="S16" s="99">
        <f t="shared" si="7"/>
        <v>0</v>
      </c>
      <c r="T16" s="99">
        <f t="shared" si="0"/>
        <v>0</v>
      </c>
      <c r="U16" s="109">
        <f t="shared" si="8"/>
        <v>7685</v>
      </c>
      <c r="V16" s="191">
        <f t="shared" si="1"/>
        <v>7685</v>
      </c>
    </row>
    <row r="17" spans="1:22" x14ac:dyDescent="0.3">
      <c r="A17" s="190" t="s">
        <v>37</v>
      </c>
      <c r="B17" s="99">
        <f t="shared" si="2"/>
        <v>4</v>
      </c>
      <c r="C17" s="99"/>
      <c r="D17" s="99">
        <v>1</v>
      </c>
      <c r="E17" s="99">
        <v>2</v>
      </c>
      <c r="F17" s="99">
        <v>1</v>
      </c>
      <c r="G17" s="99"/>
      <c r="H17" s="99"/>
      <c r="I17" s="99"/>
      <c r="J17" s="108" t="s">
        <v>429</v>
      </c>
      <c r="K17" s="102">
        <f t="shared" si="3"/>
        <v>95020</v>
      </c>
      <c r="L17" s="103" t="s">
        <v>57</v>
      </c>
      <c r="M17" s="103" t="s">
        <v>5</v>
      </c>
      <c r="N17" s="100">
        <f>'Safety CMFs'!$C$2</f>
        <v>0.5</v>
      </c>
      <c r="O17" s="99">
        <f t="shared" si="4"/>
        <v>0</v>
      </c>
      <c r="P17" s="99">
        <f t="shared" si="9"/>
        <v>0.5</v>
      </c>
      <c r="Q17" s="99">
        <f t="shared" si="5"/>
        <v>1</v>
      </c>
      <c r="R17" s="99">
        <f t="shared" si="6"/>
        <v>0.5</v>
      </c>
      <c r="S17" s="99">
        <f t="shared" si="7"/>
        <v>0</v>
      </c>
      <c r="T17" s="99">
        <f t="shared" si="0"/>
        <v>0</v>
      </c>
      <c r="U17" s="109">
        <f t="shared" si="8"/>
        <v>47510</v>
      </c>
      <c r="V17" s="191">
        <f t="shared" si="1"/>
        <v>47510</v>
      </c>
    </row>
    <row r="18" spans="1:22" x14ac:dyDescent="0.3">
      <c r="A18" s="190" t="s">
        <v>38</v>
      </c>
      <c r="B18" s="99">
        <f t="shared" si="2"/>
        <v>1</v>
      </c>
      <c r="C18" s="99"/>
      <c r="D18" s="99"/>
      <c r="E18" s="99"/>
      <c r="F18" s="99">
        <v>1</v>
      </c>
      <c r="G18" s="99"/>
      <c r="H18" s="99"/>
      <c r="I18" s="99"/>
      <c r="J18" s="108" t="s">
        <v>429</v>
      </c>
      <c r="K18" s="102">
        <f t="shared" si="3"/>
        <v>7850</v>
      </c>
      <c r="L18" s="103" t="s">
        <v>57</v>
      </c>
      <c r="M18" s="103" t="s">
        <v>5</v>
      </c>
      <c r="N18" s="100">
        <f>'Safety CMFs'!$C$2</f>
        <v>0.5</v>
      </c>
      <c r="O18" s="99">
        <f t="shared" si="4"/>
        <v>0</v>
      </c>
      <c r="P18" s="99">
        <f t="shared" si="9"/>
        <v>0</v>
      </c>
      <c r="Q18" s="99">
        <f t="shared" si="5"/>
        <v>0</v>
      </c>
      <c r="R18" s="99">
        <f t="shared" si="6"/>
        <v>0.5</v>
      </c>
      <c r="S18" s="99">
        <f t="shared" si="7"/>
        <v>0</v>
      </c>
      <c r="T18" s="99">
        <f t="shared" si="0"/>
        <v>0</v>
      </c>
      <c r="U18" s="109">
        <f t="shared" si="8"/>
        <v>3925</v>
      </c>
      <c r="V18" s="191">
        <f t="shared" si="1"/>
        <v>3925</v>
      </c>
    </row>
    <row r="19" spans="1:22" x14ac:dyDescent="0.3">
      <c r="A19" s="190" t="s">
        <v>39</v>
      </c>
      <c r="B19" s="99">
        <f t="shared" si="2"/>
        <v>16</v>
      </c>
      <c r="C19" s="99">
        <v>2</v>
      </c>
      <c r="D19" s="99"/>
      <c r="E19" s="99">
        <v>2</v>
      </c>
      <c r="F19" s="99">
        <v>7</v>
      </c>
      <c r="G19" s="99">
        <v>3</v>
      </c>
      <c r="H19" s="99">
        <v>2</v>
      </c>
      <c r="I19" s="99"/>
      <c r="J19" s="108" t="s">
        <v>429</v>
      </c>
      <c r="K19" s="102">
        <f t="shared" si="3"/>
        <v>2489670</v>
      </c>
      <c r="L19" s="103" t="s">
        <v>57</v>
      </c>
      <c r="M19" s="103" t="s">
        <v>5</v>
      </c>
      <c r="N19" s="100">
        <f>'Safety CMFs'!$C$2</f>
        <v>0.5</v>
      </c>
      <c r="O19" s="99">
        <f t="shared" si="4"/>
        <v>1</v>
      </c>
      <c r="P19" s="99">
        <f t="shared" si="9"/>
        <v>0</v>
      </c>
      <c r="Q19" s="99">
        <f t="shared" si="5"/>
        <v>1</v>
      </c>
      <c r="R19" s="99">
        <f t="shared" si="6"/>
        <v>3.5</v>
      </c>
      <c r="S19" s="99">
        <f t="shared" si="7"/>
        <v>1.5</v>
      </c>
      <c r="T19" s="99">
        <f t="shared" si="0"/>
        <v>1</v>
      </c>
      <c r="U19" s="109">
        <f t="shared" si="8"/>
        <v>1244835</v>
      </c>
      <c r="V19" s="191">
        <f t="shared" si="1"/>
        <v>1244835</v>
      </c>
    </row>
    <row r="20" spans="1:22" x14ac:dyDescent="0.3">
      <c r="A20" s="190" t="s">
        <v>29</v>
      </c>
      <c r="B20" s="99">
        <f t="shared" si="2"/>
        <v>15</v>
      </c>
      <c r="C20" s="99">
        <v>2</v>
      </c>
      <c r="D20" s="99">
        <v>1</v>
      </c>
      <c r="E20" s="99">
        <v>4</v>
      </c>
      <c r="F20" s="99">
        <v>5</v>
      </c>
      <c r="G20" s="99">
        <v>2</v>
      </c>
      <c r="H20" s="99">
        <v>1</v>
      </c>
      <c r="I20" s="99"/>
      <c r="J20" s="108" t="s">
        <v>429</v>
      </c>
      <c r="K20" s="102">
        <f t="shared" si="3"/>
        <v>2539350</v>
      </c>
      <c r="L20" s="103" t="s">
        <v>57</v>
      </c>
      <c r="M20" s="103" t="s">
        <v>5</v>
      </c>
      <c r="N20" s="100">
        <f>'Safety CMFs'!$C$2</f>
        <v>0.5</v>
      </c>
      <c r="O20" s="99">
        <f t="shared" si="4"/>
        <v>1</v>
      </c>
      <c r="P20" s="99">
        <f t="shared" si="9"/>
        <v>0.5</v>
      </c>
      <c r="Q20" s="99">
        <f t="shared" si="5"/>
        <v>2</v>
      </c>
      <c r="R20" s="99">
        <f t="shared" si="6"/>
        <v>2.5</v>
      </c>
      <c r="S20" s="99">
        <f t="shared" si="7"/>
        <v>1</v>
      </c>
      <c r="T20" s="99">
        <f t="shared" si="0"/>
        <v>0.5</v>
      </c>
      <c r="U20" s="109">
        <f t="shared" si="8"/>
        <v>1269675</v>
      </c>
      <c r="V20" s="191">
        <f t="shared" si="1"/>
        <v>1269675</v>
      </c>
    </row>
    <row r="21" spans="1:22" x14ac:dyDescent="0.3">
      <c r="A21" s="190" t="s">
        <v>30</v>
      </c>
      <c r="B21" s="99">
        <f t="shared" si="2"/>
        <v>9</v>
      </c>
      <c r="C21" s="99">
        <v>1</v>
      </c>
      <c r="D21" s="99"/>
      <c r="E21" s="99">
        <v>2</v>
      </c>
      <c r="F21" s="99">
        <v>3</v>
      </c>
      <c r="G21" s="99">
        <v>3</v>
      </c>
      <c r="H21" s="99"/>
      <c r="I21" s="99"/>
      <c r="J21" s="108" t="s">
        <v>429</v>
      </c>
      <c r="K21" s="102">
        <f t="shared" si="3"/>
        <v>1235490</v>
      </c>
      <c r="L21" s="103" t="s">
        <v>57</v>
      </c>
      <c r="M21" s="103" t="s">
        <v>5</v>
      </c>
      <c r="N21" s="100">
        <f>'Safety CMFs'!$C$2</f>
        <v>0.5</v>
      </c>
      <c r="O21" s="99">
        <f t="shared" si="4"/>
        <v>0.5</v>
      </c>
      <c r="P21" s="99">
        <f t="shared" si="9"/>
        <v>0</v>
      </c>
      <c r="Q21" s="99">
        <f t="shared" si="5"/>
        <v>1</v>
      </c>
      <c r="R21" s="99">
        <f t="shared" si="6"/>
        <v>1.5</v>
      </c>
      <c r="S21" s="99">
        <f t="shared" si="7"/>
        <v>1.5</v>
      </c>
      <c r="T21" s="99">
        <f t="shared" si="0"/>
        <v>0</v>
      </c>
      <c r="U21" s="109">
        <f t="shared" si="8"/>
        <v>617745</v>
      </c>
      <c r="V21" s="191">
        <f t="shared" si="1"/>
        <v>617745</v>
      </c>
    </row>
    <row r="22" spans="1:22" x14ac:dyDescent="0.3">
      <c r="A22" s="190" t="s">
        <v>31</v>
      </c>
      <c r="B22" s="99">
        <f t="shared" si="2"/>
        <v>4</v>
      </c>
      <c r="C22" s="99">
        <v>1</v>
      </c>
      <c r="D22" s="99"/>
      <c r="E22" s="99">
        <v>1</v>
      </c>
      <c r="F22" s="99">
        <v>2</v>
      </c>
      <c r="G22" s="99"/>
      <c r="H22" s="99"/>
      <c r="I22" s="99"/>
      <c r="J22" s="108" t="s">
        <v>429</v>
      </c>
      <c r="K22" s="102">
        <f t="shared" si="3"/>
        <v>1211070</v>
      </c>
      <c r="L22" s="103" t="s">
        <v>57</v>
      </c>
      <c r="M22" s="103" t="s">
        <v>5</v>
      </c>
      <c r="N22" s="100">
        <f>'Safety CMFs'!$C$2</f>
        <v>0.5</v>
      </c>
      <c r="O22" s="99">
        <f t="shared" si="4"/>
        <v>0.5</v>
      </c>
      <c r="P22" s="99">
        <f t="shared" si="9"/>
        <v>0</v>
      </c>
      <c r="Q22" s="99">
        <f t="shared" si="5"/>
        <v>0.5</v>
      </c>
      <c r="R22" s="99">
        <f t="shared" si="6"/>
        <v>1</v>
      </c>
      <c r="S22" s="99">
        <f t="shared" si="7"/>
        <v>0</v>
      </c>
      <c r="T22" s="99">
        <f t="shared" si="0"/>
        <v>0</v>
      </c>
      <c r="U22" s="109">
        <f t="shared" si="8"/>
        <v>605535</v>
      </c>
      <c r="V22" s="191">
        <f t="shared" si="1"/>
        <v>605535</v>
      </c>
    </row>
    <row r="23" spans="1:22" x14ac:dyDescent="0.3">
      <c r="A23" s="190" t="s">
        <v>32</v>
      </c>
      <c r="B23" s="99">
        <f t="shared" si="2"/>
        <v>3</v>
      </c>
      <c r="C23" s="99"/>
      <c r="D23" s="99"/>
      <c r="E23" s="99"/>
      <c r="F23" s="99">
        <v>2</v>
      </c>
      <c r="G23" s="99">
        <v>1</v>
      </c>
      <c r="H23" s="99"/>
      <c r="I23" s="99"/>
      <c r="J23" s="108" t="s">
        <v>429</v>
      </c>
      <c r="K23" s="102">
        <f t="shared" si="3"/>
        <v>16100</v>
      </c>
      <c r="L23" s="103" t="s">
        <v>57</v>
      </c>
      <c r="M23" s="103" t="s">
        <v>5</v>
      </c>
      <c r="N23" s="100">
        <f>'Safety CMFs'!$C$2</f>
        <v>0.5</v>
      </c>
      <c r="O23" s="99">
        <f t="shared" si="4"/>
        <v>0</v>
      </c>
      <c r="P23" s="99">
        <f t="shared" si="9"/>
        <v>0</v>
      </c>
      <c r="Q23" s="99">
        <f t="shared" si="5"/>
        <v>0</v>
      </c>
      <c r="R23" s="99">
        <f t="shared" si="6"/>
        <v>1</v>
      </c>
      <c r="S23" s="99">
        <f t="shared" si="7"/>
        <v>0.5</v>
      </c>
      <c r="T23" s="99">
        <f t="shared" si="0"/>
        <v>0</v>
      </c>
      <c r="U23" s="109">
        <f t="shared" si="8"/>
        <v>8050</v>
      </c>
      <c r="V23" s="191">
        <f t="shared" si="1"/>
        <v>8050</v>
      </c>
    </row>
    <row r="24" spans="1:22" x14ac:dyDescent="0.3">
      <c r="A24" s="190" t="s">
        <v>40</v>
      </c>
      <c r="B24" s="99">
        <f t="shared" si="2"/>
        <v>6</v>
      </c>
      <c r="C24" s="99"/>
      <c r="D24" s="99">
        <v>1</v>
      </c>
      <c r="E24" s="99">
        <v>1</v>
      </c>
      <c r="F24" s="99">
        <v>3</v>
      </c>
      <c r="G24" s="99"/>
      <c r="H24" s="99">
        <v>1</v>
      </c>
      <c r="I24" s="99"/>
      <c r="J24" s="108" t="s">
        <v>429</v>
      </c>
      <c r="K24" s="102">
        <f t="shared" si="3"/>
        <v>116740</v>
      </c>
      <c r="L24" s="103" t="s">
        <v>57</v>
      </c>
      <c r="M24" s="103" t="s">
        <v>5</v>
      </c>
      <c r="N24" s="100">
        <f>'Safety CMFs'!$C$2</f>
        <v>0.5</v>
      </c>
      <c r="O24" s="99">
        <f t="shared" si="4"/>
        <v>0</v>
      </c>
      <c r="P24" s="99">
        <f t="shared" si="9"/>
        <v>0.5</v>
      </c>
      <c r="Q24" s="99">
        <f t="shared" si="5"/>
        <v>0.5</v>
      </c>
      <c r="R24" s="99">
        <f t="shared" si="6"/>
        <v>1.5</v>
      </c>
      <c r="S24" s="99">
        <f t="shared" si="7"/>
        <v>0</v>
      </c>
      <c r="T24" s="99">
        <f t="shared" si="0"/>
        <v>0.5</v>
      </c>
      <c r="U24" s="109">
        <f t="shared" si="8"/>
        <v>58370</v>
      </c>
      <c r="V24" s="191">
        <f t="shared" si="1"/>
        <v>58370</v>
      </c>
    </row>
    <row r="25" spans="1:22" x14ac:dyDescent="0.3">
      <c r="A25" s="190" t="s">
        <v>33</v>
      </c>
      <c r="B25" s="99">
        <f t="shared" si="2"/>
        <v>4</v>
      </c>
      <c r="C25" s="99"/>
      <c r="D25" s="99"/>
      <c r="E25" s="99">
        <v>1</v>
      </c>
      <c r="F25" s="99">
        <v>2</v>
      </c>
      <c r="G25" s="99">
        <v>1</v>
      </c>
      <c r="H25" s="99"/>
      <c r="I25" s="99"/>
      <c r="J25" s="108" t="s">
        <v>429</v>
      </c>
      <c r="K25" s="102">
        <f t="shared" si="3"/>
        <v>31470</v>
      </c>
      <c r="L25" s="103" t="s">
        <v>57</v>
      </c>
      <c r="M25" s="103" t="s">
        <v>5</v>
      </c>
      <c r="N25" s="100">
        <f>'Safety CMFs'!$C$2</f>
        <v>0.5</v>
      </c>
      <c r="O25" s="99">
        <f t="shared" si="4"/>
        <v>0</v>
      </c>
      <c r="P25" s="99">
        <f t="shared" si="9"/>
        <v>0</v>
      </c>
      <c r="Q25" s="99">
        <f t="shared" si="5"/>
        <v>0.5</v>
      </c>
      <c r="R25" s="99">
        <f t="shared" si="6"/>
        <v>1</v>
      </c>
      <c r="S25" s="99">
        <f t="shared" si="7"/>
        <v>0.5</v>
      </c>
      <c r="T25" s="99">
        <f t="shared" si="0"/>
        <v>0</v>
      </c>
      <c r="U25" s="109">
        <f t="shared" si="8"/>
        <v>15735</v>
      </c>
      <c r="V25" s="191">
        <f t="shared" si="1"/>
        <v>15735</v>
      </c>
    </row>
    <row r="26" spans="1:22" x14ac:dyDescent="0.3">
      <c r="A26" s="190" t="s">
        <v>26</v>
      </c>
      <c r="B26" s="99">
        <f t="shared" si="2"/>
        <v>3</v>
      </c>
      <c r="C26" s="99">
        <v>1</v>
      </c>
      <c r="D26" s="99"/>
      <c r="E26" s="99">
        <v>2</v>
      </c>
      <c r="F26" s="99"/>
      <c r="G26" s="99"/>
      <c r="H26" s="99"/>
      <c r="I26" s="99"/>
      <c r="J26" s="108" t="s">
        <v>429</v>
      </c>
      <c r="K26" s="102">
        <f t="shared" si="3"/>
        <v>1210740</v>
      </c>
      <c r="L26" s="103" t="s">
        <v>57</v>
      </c>
      <c r="M26" s="103" t="s">
        <v>5</v>
      </c>
      <c r="N26" s="100">
        <f>'Safety CMFs'!$C$2</f>
        <v>0.5</v>
      </c>
      <c r="O26" s="99">
        <f t="shared" si="4"/>
        <v>0.5</v>
      </c>
      <c r="P26" s="99">
        <f t="shared" si="9"/>
        <v>0</v>
      </c>
      <c r="Q26" s="99">
        <f t="shared" si="5"/>
        <v>1</v>
      </c>
      <c r="R26" s="99">
        <f t="shared" si="6"/>
        <v>0</v>
      </c>
      <c r="S26" s="99">
        <f t="shared" si="7"/>
        <v>0</v>
      </c>
      <c r="T26" s="99">
        <f t="shared" si="0"/>
        <v>0</v>
      </c>
      <c r="U26" s="109">
        <f t="shared" si="8"/>
        <v>605370</v>
      </c>
      <c r="V26" s="191">
        <f t="shared" si="1"/>
        <v>605370</v>
      </c>
    </row>
    <row r="27" spans="1:22" x14ac:dyDescent="0.3">
      <c r="A27" s="190" t="s">
        <v>34</v>
      </c>
      <c r="B27" s="99">
        <f t="shared" si="2"/>
        <v>10</v>
      </c>
      <c r="C27" s="99"/>
      <c r="D27" s="99"/>
      <c r="E27" s="99">
        <v>5</v>
      </c>
      <c r="F27" s="99">
        <v>4</v>
      </c>
      <c r="G27" s="99">
        <v>1</v>
      </c>
      <c r="H27" s="99"/>
      <c r="I27" s="99"/>
      <c r="J27" s="108" t="s">
        <v>429</v>
      </c>
      <c r="K27" s="102">
        <f t="shared" si="3"/>
        <v>108650</v>
      </c>
      <c r="L27" s="103" t="s">
        <v>57</v>
      </c>
      <c r="M27" s="103" t="s">
        <v>5</v>
      </c>
      <c r="N27" s="100">
        <f>'Safety CMFs'!$C$2</f>
        <v>0.5</v>
      </c>
      <c r="O27" s="99">
        <f t="shared" si="4"/>
        <v>0</v>
      </c>
      <c r="P27" s="99">
        <f t="shared" si="9"/>
        <v>0</v>
      </c>
      <c r="Q27" s="99">
        <f t="shared" si="5"/>
        <v>2.5</v>
      </c>
      <c r="R27" s="99">
        <f t="shared" si="6"/>
        <v>2</v>
      </c>
      <c r="S27" s="99">
        <f>$G27*$N27</f>
        <v>0.5</v>
      </c>
      <c r="T27" s="99">
        <f t="shared" si="0"/>
        <v>0</v>
      </c>
      <c r="U27" s="109">
        <f t="shared" si="8"/>
        <v>54325</v>
      </c>
      <c r="V27" s="191">
        <f t="shared" si="1"/>
        <v>54325</v>
      </c>
    </row>
    <row r="28" spans="1:22" ht="43.2" x14ac:dyDescent="0.3">
      <c r="A28" s="192" t="s">
        <v>438</v>
      </c>
      <c r="B28" s="104" t="s">
        <v>441</v>
      </c>
      <c r="C28" s="105" t="s">
        <v>7</v>
      </c>
      <c r="D28" s="105" t="s">
        <v>8</v>
      </c>
      <c r="E28" s="105" t="s">
        <v>16</v>
      </c>
      <c r="F28" s="105" t="s">
        <v>10</v>
      </c>
      <c r="G28" s="105" t="s">
        <v>11</v>
      </c>
      <c r="H28" s="113" t="s">
        <v>428</v>
      </c>
      <c r="I28" s="112" t="s">
        <v>13</v>
      </c>
      <c r="J28" s="107" t="s">
        <v>17</v>
      </c>
      <c r="K28" s="105" t="s">
        <v>18</v>
      </c>
      <c r="L28" s="101" t="s">
        <v>56</v>
      </c>
      <c r="M28" s="101" t="s">
        <v>19</v>
      </c>
      <c r="N28" s="101" t="s">
        <v>2</v>
      </c>
      <c r="O28" s="105" t="s">
        <v>7</v>
      </c>
      <c r="P28" s="105" t="s">
        <v>8</v>
      </c>
      <c r="Q28" s="105" t="s">
        <v>16</v>
      </c>
      <c r="R28" s="105" t="s">
        <v>10</v>
      </c>
      <c r="S28" s="105" t="s">
        <v>11</v>
      </c>
      <c r="T28" s="105" t="s">
        <v>428</v>
      </c>
      <c r="U28" s="105" t="s">
        <v>20</v>
      </c>
      <c r="V28" s="193" t="s">
        <v>21</v>
      </c>
    </row>
    <row r="29" spans="1:22" x14ac:dyDescent="0.3">
      <c r="A29" s="190" t="s">
        <v>27</v>
      </c>
      <c r="B29" s="99">
        <v>332</v>
      </c>
      <c r="C29" s="99">
        <v>4</v>
      </c>
      <c r="D29" s="99">
        <v>4</v>
      </c>
      <c r="E29" s="99">
        <v>22</v>
      </c>
      <c r="F29" s="99">
        <v>141</v>
      </c>
      <c r="G29" s="99">
        <v>161</v>
      </c>
      <c r="H29" s="99"/>
      <c r="I29" s="99"/>
      <c r="J29" s="108" t="s">
        <v>429</v>
      </c>
      <c r="K29" s="102">
        <f>(C29*$N$3+D29*$N$4+E29*$N$5+F29*$N$6+G29*$N$7+H29*$N$8+I29*$N$9)/5</f>
        <v>12910220</v>
      </c>
      <c r="L29" s="103" t="s">
        <v>439</v>
      </c>
      <c r="M29" s="103" t="s">
        <v>440</v>
      </c>
      <c r="N29" s="100">
        <f>'Safety CMFs'!$C$6</f>
        <v>0.85</v>
      </c>
      <c r="O29" s="99">
        <f>$C29*($N29)</f>
        <v>3.4</v>
      </c>
      <c r="P29" s="99">
        <f>$D29*($N29)</f>
        <v>3.4</v>
      </c>
      <c r="Q29" s="99">
        <f>$E29*($N29)</f>
        <v>18.7</v>
      </c>
      <c r="R29" s="99">
        <f>$F29*($N29)</f>
        <v>119.85</v>
      </c>
      <c r="S29" s="99">
        <f>$G29*($N29)</f>
        <v>136.85</v>
      </c>
      <c r="T29" s="99">
        <f t="shared" ref="T29:T43" si="10">H29*$N$13</f>
        <v>0</v>
      </c>
      <c r="U29" s="109">
        <f>(O29*$N$3+P29*$N$4+Q29*$N$5+R29*$N$6+S29*$N$7+T29*$N$8)/10</f>
        <v>5486843.5</v>
      </c>
      <c r="V29" s="191">
        <f t="shared" ref="V29:V43" si="11">K29-U29</f>
        <v>7423376.5</v>
      </c>
    </row>
    <row r="30" spans="1:22" x14ac:dyDescent="0.3">
      <c r="A30" s="190" t="s">
        <v>28</v>
      </c>
      <c r="B30" s="99">
        <v>238</v>
      </c>
      <c r="C30" s="99">
        <v>2</v>
      </c>
      <c r="D30" s="99">
        <v>2</v>
      </c>
      <c r="E30" s="99">
        <v>15</v>
      </c>
      <c r="F30" s="99">
        <v>39</v>
      </c>
      <c r="G30" s="99">
        <v>179</v>
      </c>
      <c r="H30" s="99">
        <v>1</v>
      </c>
      <c r="I30" s="99"/>
      <c r="J30" s="108" t="s">
        <v>429</v>
      </c>
      <c r="K30" s="102">
        <f t="shared" ref="K30:K43" si="12">(C30*$N$3+D30*$N$4+E30*$N$5+F30*$N$6+G30*$N$7+H30*$N$8+I30*$N$9)/5</f>
        <v>6205100</v>
      </c>
      <c r="L30" s="103" t="s">
        <v>439</v>
      </c>
      <c r="M30" s="103" t="s">
        <v>440</v>
      </c>
      <c r="N30" s="100">
        <f>'Safety CMFs'!$C$6</f>
        <v>0.85</v>
      </c>
      <c r="O30" s="99">
        <f t="shared" ref="O30:O43" si="13">$C30*($N30)</f>
        <v>1.7</v>
      </c>
      <c r="P30" s="99">
        <f t="shared" ref="P30:P43" si="14">$D30*($N30)</f>
        <v>1.7</v>
      </c>
      <c r="Q30" s="99">
        <f>$E30*($N30)</f>
        <v>12.75</v>
      </c>
      <c r="R30" s="99">
        <f t="shared" ref="R30:R43" si="15">$F30*($N30)</f>
        <v>33.15</v>
      </c>
      <c r="S30" s="99">
        <f t="shared" ref="S30:S43" si="16">$G30*($N30)</f>
        <v>152.15</v>
      </c>
      <c r="T30" s="99">
        <f t="shared" si="10"/>
        <v>0.5</v>
      </c>
      <c r="U30" s="109">
        <f t="shared" ref="U30:U43" si="17">(O30*$N$3+P30*$N$4+Q30*$N$5+R30*$N$6+S30*$N$7+T30*$N$8)/10</f>
        <v>2629681</v>
      </c>
      <c r="V30" s="191">
        <f t="shared" si="11"/>
        <v>3575419</v>
      </c>
    </row>
    <row r="31" spans="1:22" x14ac:dyDescent="0.3">
      <c r="A31" s="190" t="s">
        <v>35</v>
      </c>
      <c r="B31" s="99">
        <v>279</v>
      </c>
      <c r="C31" s="99">
        <v>1</v>
      </c>
      <c r="D31" s="99"/>
      <c r="E31" s="99">
        <v>22</v>
      </c>
      <c r="F31" s="99">
        <v>42</v>
      </c>
      <c r="G31" s="99">
        <v>200</v>
      </c>
      <c r="H31" s="99">
        <v>14</v>
      </c>
      <c r="I31" s="99"/>
      <c r="J31" s="108" t="s">
        <v>429</v>
      </c>
      <c r="K31" s="102">
        <f t="shared" si="12"/>
        <v>4454600</v>
      </c>
      <c r="L31" s="103" t="s">
        <v>439</v>
      </c>
      <c r="M31" s="103" t="s">
        <v>440</v>
      </c>
      <c r="N31" s="100">
        <f>'Safety CMFs'!$C$6</f>
        <v>0.85</v>
      </c>
      <c r="O31" s="99">
        <f t="shared" si="13"/>
        <v>0.85</v>
      </c>
      <c r="P31" s="99">
        <f t="shared" si="14"/>
        <v>0</v>
      </c>
      <c r="Q31" s="99">
        <f t="shared" ref="Q31:Q43" si="18">$E31*($N31)</f>
        <v>18.7</v>
      </c>
      <c r="R31" s="99">
        <f t="shared" si="15"/>
        <v>35.699999999999996</v>
      </c>
      <c r="S31" s="99">
        <f t="shared" si="16"/>
        <v>170</v>
      </c>
      <c r="T31" s="99">
        <f t="shared" si="10"/>
        <v>7</v>
      </c>
      <c r="U31" s="109">
        <f t="shared" si="17"/>
        <v>1788394</v>
      </c>
      <c r="V31" s="191">
        <f t="shared" si="11"/>
        <v>2666206</v>
      </c>
    </row>
    <row r="32" spans="1:22" x14ac:dyDescent="0.3">
      <c r="A32" s="190" t="s">
        <v>36</v>
      </c>
      <c r="B32" s="99">
        <v>124</v>
      </c>
      <c r="C32" s="99"/>
      <c r="D32" s="99">
        <v>1</v>
      </c>
      <c r="E32" s="99">
        <v>7</v>
      </c>
      <c r="F32" s="99">
        <v>25</v>
      </c>
      <c r="G32" s="99">
        <v>90</v>
      </c>
      <c r="H32" s="99">
        <v>1</v>
      </c>
      <c r="I32" s="99"/>
      <c r="J32" s="108" t="s">
        <v>429</v>
      </c>
      <c r="K32" s="102">
        <f t="shared" si="12"/>
        <v>835320</v>
      </c>
      <c r="L32" s="103" t="s">
        <v>439</v>
      </c>
      <c r="M32" s="103" t="s">
        <v>440</v>
      </c>
      <c r="N32" s="100">
        <f>'Safety CMFs'!$C$6</f>
        <v>0.85</v>
      </c>
      <c r="O32" s="99">
        <f t="shared" si="13"/>
        <v>0</v>
      </c>
      <c r="P32" s="99">
        <f t="shared" si="14"/>
        <v>0.85</v>
      </c>
      <c r="Q32" s="99">
        <f t="shared" si="18"/>
        <v>5.95</v>
      </c>
      <c r="R32" s="99">
        <f t="shared" si="15"/>
        <v>21.25</v>
      </c>
      <c r="S32" s="99">
        <f t="shared" si="16"/>
        <v>76.5</v>
      </c>
      <c r="T32" s="99">
        <f t="shared" si="10"/>
        <v>0.5</v>
      </c>
      <c r="U32" s="109">
        <f t="shared" si="17"/>
        <v>347524.5</v>
      </c>
      <c r="V32" s="191">
        <f t="shared" si="11"/>
        <v>487795.5</v>
      </c>
    </row>
    <row r="33" spans="1:44" x14ac:dyDescent="0.3">
      <c r="A33" s="190" t="s">
        <v>37</v>
      </c>
      <c r="B33" s="99">
        <v>321</v>
      </c>
      <c r="C33" s="99">
        <v>1</v>
      </c>
      <c r="D33" s="99">
        <v>1</v>
      </c>
      <c r="E33" s="99">
        <v>19</v>
      </c>
      <c r="F33" s="99">
        <v>57</v>
      </c>
      <c r="G33" s="99">
        <v>239</v>
      </c>
      <c r="H33" s="99">
        <v>4</v>
      </c>
      <c r="I33" s="99"/>
      <c r="J33" s="108" t="s">
        <v>429</v>
      </c>
      <c r="K33" s="102">
        <f t="shared" si="12"/>
        <v>4314140</v>
      </c>
      <c r="L33" s="103" t="s">
        <v>439</v>
      </c>
      <c r="M33" s="103" t="s">
        <v>440</v>
      </c>
      <c r="N33" s="100">
        <f>'Safety CMFs'!$C$6</f>
        <v>0.85</v>
      </c>
      <c r="O33" s="99">
        <f t="shared" si="13"/>
        <v>0.85</v>
      </c>
      <c r="P33" s="99">
        <f t="shared" si="14"/>
        <v>0.85</v>
      </c>
      <c r="Q33" s="99">
        <f t="shared" si="18"/>
        <v>16.149999999999999</v>
      </c>
      <c r="R33" s="99">
        <f t="shared" si="15"/>
        <v>48.449999999999996</v>
      </c>
      <c r="S33" s="99">
        <f t="shared" si="16"/>
        <v>203.15</v>
      </c>
      <c r="T33" s="99">
        <f t="shared" si="10"/>
        <v>2</v>
      </c>
      <c r="U33" s="109">
        <f t="shared" si="17"/>
        <v>1803563.5</v>
      </c>
      <c r="V33" s="191">
        <f t="shared" si="11"/>
        <v>2510576.5</v>
      </c>
    </row>
    <row r="34" spans="1:44" x14ac:dyDescent="0.3">
      <c r="A34" s="190" t="s">
        <v>38</v>
      </c>
      <c r="B34" s="99">
        <v>26</v>
      </c>
      <c r="C34" s="99"/>
      <c r="D34" s="99"/>
      <c r="E34" s="99">
        <v>2</v>
      </c>
      <c r="F34" s="99">
        <v>9</v>
      </c>
      <c r="G34" s="99">
        <v>12</v>
      </c>
      <c r="H34" s="99">
        <v>3</v>
      </c>
      <c r="I34" s="99"/>
      <c r="J34" s="108" t="s">
        <v>429</v>
      </c>
      <c r="K34" s="102">
        <f t="shared" si="12"/>
        <v>340720</v>
      </c>
      <c r="L34" s="103" t="s">
        <v>439</v>
      </c>
      <c r="M34" s="103" t="s">
        <v>440</v>
      </c>
      <c r="N34" s="100">
        <f>'Safety CMFs'!$C$6</f>
        <v>0.85</v>
      </c>
      <c r="O34" s="99">
        <f t="shared" si="13"/>
        <v>0</v>
      </c>
      <c r="P34" s="99">
        <f t="shared" si="14"/>
        <v>0</v>
      </c>
      <c r="Q34" s="99">
        <f t="shared" si="18"/>
        <v>1.7</v>
      </c>
      <c r="R34" s="99">
        <f t="shared" si="15"/>
        <v>7.6499999999999995</v>
      </c>
      <c r="S34" s="99">
        <f t="shared" si="16"/>
        <v>10.199999999999999</v>
      </c>
      <c r="T34" s="99">
        <f t="shared" si="10"/>
        <v>1.5</v>
      </c>
      <c r="U34" s="109">
        <f t="shared" si="17"/>
        <v>122346.5</v>
      </c>
      <c r="V34" s="191">
        <f t="shared" si="11"/>
        <v>218373.5</v>
      </c>
    </row>
    <row r="35" spans="1:44" x14ac:dyDescent="0.3">
      <c r="A35" s="190" t="s">
        <v>39</v>
      </c>
      <c r="B35" s="99">
        <v>535</v>
      </c>
      <c r="C35" s="99">
        <v>4</v>
      </c>
      <c r="D35" s="99">
        <v>1</v>
      </c>
      <c r="E35" s="99">
        <v>22</v>
      </c>
      <c r="F35" s="99">
        <v>114</v>
      </c>
      <c r="G35" s="99">
        <v>381</v>
      </c>
      <c r="H35" s="99">
        <v>13</v>
      </c>
      <c r="I35" s="99"/>
      <c r="J35" s="108" t="s">
        <v>429</v>
      </c>
      <c r="K35" s="102">
        <f t="shared" si="12"/>
        <v>12879880</v>
      </c>
      <c r="L35" s="103" t="s">
        <v>439</v>
      </c>
      <c r="M35" s="103" t="s">
        <v>440</v>
      </c>
      <c r="N35" s="100">
        <f>'Safety CMFs'!$C$6</f>
        <v>0.85</v>
      </c>
      <c r="O35" s="99">
        <f t="shared" si="13"/>
        <v>3.4</v>
      </c>
      <c r="P35" s="99">
        <f t="shared" si="14"/>
        <v>0.85</v>
      </c>
      <c r="Q35" s="99">
        <f t="shared" si="18"/>
        <v>18.7</v>
      </c>
      <c r="R35" s="99">
        <f t="shared" si="15"/>
        <v>96.899999999999991</v>
      </c>
      <c r="S35" s="99">
        <f t="shared" si="16"/>
        <v>323.84999999999997</v>
      </c>
      <c r="T35" s="99">
        <f t="shared" si="10"/>
        <v>6.5</v>
      </c>
      <c r="U35" s="109">
        <f t="shared" si="17"/>
        <v>5376624.5</v>
      </c>
      <c r="V35" s="191">
        <f t="shared" si="11"/>
        <v>7503255.5</v>
      </c>
    </row>
    <row r="36" spans="1:44" x14ac:dyDescent="0.3">
      <c r="A36" s="190" t="s">
        <v>29</v>
      </c>
      <c r="B36" s="99">
        <v>332</v>
      </c>
      <c r="C36" s="99">
        <v>3</v>
      </c>
      <c r="D36" s="99">
        <v>3</v>
      </c>
      <c r="E36" s="99">
        <v>14</v>
      </c>
      <c r="F36" s="99">
        <v>73</v>
      </c>
      <c r="G36" s="99">
        <v>232</v>
      </c>
      <c r="H36" s="99">
        <v>7</v>
      </c>
      <c r="I36" s="99"/>
      <c r="J36" s="108" t="s">
        <v>429</v>
      </c>
      <c r="K36" s="102">
        <f t="shared" si="12"/>
        <v>9480100</v>
      </c>
      <c r="L36" s="103" t="s">
        <v>439</v>
      </c>
      <c r="M36" s="103" t="s">
        <v>440</v>
      </c>
      <c r="N36" s="100">
        <f>'Safety CMFs'!$C$6</f>
        <v>0.85</v>
      </c>
      <c r="O36" s="99">
        <f t="shared" si="13"/>
        <v>2.5499999999999998</v>
      </c>
      <c r="P36" s="99">
        <f t="shared" si="14"/>
        <v>2.5499999999999998</v>
      </c>
      <c r="Q36" s="99">
        <f t="shared" si="18"/>
        <v>11.9</v>
      </c>
      <c r="R36" s="99">
        <f t="shared" si="15"/>
        <v>62.05</v>
      </c>
      <c r="S36" s="99">
        <f t="shared" si="16"/>
        <v>197.2</v>
      </c>
      <c r="T36" s="99">
        <f t="shared" si="10"/>
        <v>3.5</v>
      </c>
      <c r="U36" s="109">
        <f t="shared" si="17"/>
        <v>3976637</v>
      </c>
      <c r="V36" s="191">
        <f t="shared" si="11"/>
        <v>5503463</v>
      </c>
    </row>
    <row r="37" spans="1:44" x14ac:dyDescent="0.3">
      <c r="A37" s="190" t="s">
        <v>30</v>
      </c>
      <c r="B37" s="99">
        <v>220</v>
      </c>
      <c r="C37" s="99">
        <v>1</v>
      </c>
      <c r="D37" s="99">
        <v>2</v>
      </c>
      <c r="E37" s="99">
        <v>9</v>
      </c>
      <c r="F37" s="99">
        <v>46</v>
      </c>
      <c r="G37" s="99">
        <v>158</v>
      </c>
      <c r="H37" s="99">
        <v>4</v>
      </c>
      <c r="I37" s="99"/>
      <c r="J37" s="108" t="s">
        <v>429</v>
      </c>
      <c r="K37" s="102">
        <f t="shared" si="12"/>
        <v>3882100</v>
      </c>
      <c r="L37" s="103" t="s">
        <v>439</v>
      </c>
      <c r="M37" s="103" t="s">
        <v>440</v>
      </c>
      <c r="N37" s="100">
        <f>'Safety CMFs'!$C$6</f>
        <v>0.85</v>
      </c>
      <c r="O37" s="99">
        <f t="shared" si="13"/>
        <v>0.85</v>
      </c>
      <c r="P37" s="99">
        <f t="shared" si="14"/>
        <v>1.7</v>
      </c>
      <c r="Q37" s="99">
        <f t="shared" si="18"/>
        <v>7.6499999999999995</v>
      </c>
      <c r="R37" s="99">
        <f t="shared" si="15"/>
        <v>39.1</v>
      </c>
      <c r="S37" s="99">
        <f t="shared" si="16"/>
        <v>134.29999999999998</v>
      </c>
      <c r="T37" s="99">
        <f t="shared" si="10"/>
        <v>2</v>
      </c>
      <c r="U37" s="109">
        <f t="shared" si="17"/>
        <v>1619946.5</v>
      </c>
      <c r="V37" s="191">
        <f t="shared" si="11"/>
        <v>2262153.5</v>
      </c>
    </row>
    <row r="38" spans="1:44" x14ac:dyDescent="0.3">
      <c r="A38" s="190" t="s">
        <v>31</v>
      </c>
      <c r="B38" s="99">
        <v>515</v>
      </c>
      <c r="C38" s="99">
        <v>1</v>
      </c>
      <c r="D38" s="99">
        <v>4</v>
      </c>
      <c r="E38" s="99">
        <v>34</v>
      </c>
      <c r="F38" s="99">
        <v>112</v>
      </c>
      <c r="G38" s="99">
        <v>356</v>
      </c>
      <c r="H38" s="99">
        <v>8</v>
      </c>
      <c r="I38" s="99"/>
      <c r="J38" s="108" t="s">
        <v>429</v>
      </c>
      <c r="K38" s="102">
        <f t="shared" si="12"/>
        <v>6242040</v>
      </c>
      <c r="L38" s="103" t="s">
        <v>439</v>
      </c>
      <c r="M38" s="103" t="s">
        <v>440</v>
      </c>
      <c r="N38" s="100">
        <f>'Safety CMFs'!$C$6</f>
        <v>0.85</v>
      </c>
      <c r="O38" s="99">
        <f t="shared" si="13"/>
        <v>0.85</v>
      </c>
      <c r="P38" s="99">
        <f t="shared" si="14"/>
        <v>3.4</v>
      </c>
      <c r="Q38" s="99">
        <f t="shared" si="18"/>
        <v>28.9</v>
      </c>
      <c r="R38" s="99">
        <f t="shared" si="15"/>
        <v>95.2</v>
      </c>
      <c r="S38" s="99">
        <f t="shared" si="16"/>
        <v>302.59999999999997</v>
      </c>
      <c r="T38" s="99">
        <f t="shared" si="10"/>
        <v>4</v>
      </c>
      <c r="U38" s="109">
        <f t="shared" si="17"/>
        <v>2592975</v>
      </c>
      <c r="V38" s="191">
        <f t="shared" si="11"/>
        <v>3649065</v>
      </c>
    </row>
    <row r="39" spans="1:44" x14ac:dyDescent="0.3">
      <c r="A39" s="190" t="s">
        <v>32</v>
      </c>
      <c r="B39" s="99">
        <v>137</v>
      </c>
      <c r="C39" s="99"/>
      <c r="D39" s="99">
        <v>1</v>
      </c>
      <c r="E39" s="99">
        <v>7</v>
      </c>
      <c r="F39" s="99">
        <v>29</v>
      </c>
      <c r="G39" s="99">
        <v>93</v>
      </c>
      <c r="H39" s="99">
        <v>7</v>
      </c>
      <c r="I39" s="99"/>
      <c r="J39" s="108" t="s">
        <v>429</v>
      </c>
      <c r="K39" s="102">
        <f t="shared" si="12"/>
        <v>1157200</v>
      </c>
      <c r="L39" s="103" t="s">
        <v>439</v>
      </c>
      <c r="M39" s="103" t="s">
        <v>440</v>
      </c>
      <c r="N39" s="100">
        <f>'Safety CMFs'!$C$6</f>
        <v>0.85</v>
      </c>
      <c r="O39" s="99">
        <f t="shared" si="13"/>
        <v>0</v>
      </c>
      <c r="P39" s="99">
        <f t="shared" si="14"/>
        <v>0.85</v>
      </c>
      <c r="Q39" s="99">
        <f t="shared" si="18"/>
        <v>5.95</v>
      </c>
      <c r="R39" s="99">
        <f t="shared" si="15"/>
        <v>24.65</v>
      </c>
      <c r="S39" s="99">
        <f t="shared" si="16"/>
        <v>79.05</v>
      </c>
      <c r="T39" s="99">
        <f t="shared" si="10"/>
        <v>3.5</v>
      </c>
      <c r="U39" s="109">
        <f t="shared" si="17"/>
        <v>439404.5</v>
      </c>
      <c r="V39" s="191">
        <f t="shared" si="11"/>
        <v>717795.5</v>
      </c>
    </row>
    <row r="40" spans="1:44" x14ac:dyDescent="0.3">
      <c r="A40" s="190" t="s">
        <v>40</v>
      </c>
      <c r="B40" s="99">
        <v>168</v>
      </c>
      <c r="C40" s="99"/>
      <c r="D40" s="99">
        <v>1</v>
      </c>
      <c r="E40" s="99">
        <v>12</v>
      </c>
      <c r="F40" s="99">
        <v>43</v>
      </c>
      <c r="G40" s="99">
        <v>109</v>
      </c>
      <c r="H40" s="99">
        <v>3</v>
      </c>
      <c r="I40" s="99"/>
      <c r="J40" s="108" t="s">
        <v>429</v>
      </c>
      <c r="K40" s="102">
        <f t="shared" si="12"/>
        <v>1372380</v>
      </c>
      <c r="L40" s="103" t="s">
        <v>439</v>
      </c>
      <c r="M40" s="103" t="s">
        <v>440</v>
      </c>
      <c r="N40" s="100">
        <f>'Safety CMFs'!$C$6</f>
        <v>0.85</v>
      </c>
      <c r="O40" s="99">
        <f t="shared" si="13"/>
        <v>0</v>
      </c>
      <c r="P40" s="99">
        <f t="shared" si="14"/>
        <v>0.85</v>
      </c>
      <c r="Q40" s="99">
        <f t="shared" si="18"/>
        <v>10.199999999999999</v>
      </c>
      <c r="R40" s="99">
        <f t="shared" si="15"/>
        <v>36.549999999999997</v>
      </c>
      <c r="S40" s="99">
        <f t="shared" si="16"/>
        <v>92.649999999999991</v>
      </c>
      <c r="T40" s="99">
        <f t="shared" si="10"/>
        <v>1.5</v>
      </c>
      <c r="U40" s="109">
        <f t="shared" si="17"/>
        <v>560802</v>
      </c>
      <c r="V40" s="191">
        <f t="shared" si="11"/>
        <v>811578</v>
      </c>
    </row>
    <row r="41" spans="1:44" x14ac:dyDescent="0.3">
      <c r="A41" s="190" t="s">
        <v>33</v>
      </c>
      <c r="B41" s="99">
        <v>165</v>
      </c>
      <c r="C41" s="99">
        <v>1</v>
      </c>
      <c r="D41" s="99"/>
      <c r="E41" s="99">
        <v>6</v>
      </c>
      <c r="F41" s="99">
        <v>30</v>
      </c>
      <c r="G41" s="99">
        <v>125</v>
      </c>
      <c r="H41" s="99">
        <v>3</v>
      </c>
      <c r="I41" s="99"/>
      <c r="J41" s="108" t="s">
        <v>429</v>
      </c>
      <c r="K41" s="102">
        <f t="shared" si="12"/>
        <v>3243780</v>
      </c>
      <c r="L41" s="103" t="s">
        <v>439</v>
      </c>
      <c r="M41" s="103" t="s">
        <v>440</v>
      </c>
      <c r="N41" s="100">
        <f>'Safety CMFs'!$C$6</f>
        <v>0.85</v>
      </c>
      <c r="O41" s="99">
        <f t="shared" si="13"/>
        <v>0.85</v>
      </c>
      <c r="P41" s="99">
        <f t="shared" si="14"/>
        <v>0</v>
      </c>
      <c r="Q41" s="99">
        <f t="shared" si="18"/>
        <v>5.0999999999999996</v>
      </c>
      <c r="R41" s="99">
        <f t="shared" si="15"/>
        <v>25.5</v>
      </c>
      <c r="S41" s="99">
        <f t="shared" si="16"/>
        <v>106.25</v>
      </c>
      <c r="T41" s="99">
        <f t="shared" si="10"/>
        <v>1.5</v>
      </c>
      <c r="U41" s="109">
        <f t="shared" si="17"/>
        <v>1356147</v>
      </c>
      <c r="V41" s="191">
        <f t="shared" si="11"/>
        <v>1887633</v>
      </c>
    </row>
    <row r="42" spans="1:44" x14ac:dyDescent="0.3">
      <c r="A42" s="190" t="s">
        <v>26</v>
      </c>
      <c r="B42" s="99">
        <v>233</v>
      </c>
      <c r="C42" s="99">
        <v>1</v>
      </c>
      <c r="D42" s="99">
        <v>3</v>
      </c>
      <c r="E42" s="99">
        <v>4</v>
      </c>
      <c r="F42" s="99">
        <v>39</v>
      </c>
      <c r="G42" s="99">
        <v>180</v>
      </c>
      <c r="H42" s="99">
        <v>6</v>
      </c>
      <c r="I42" s="99"/>
      <c r="J42" s="108" t="s">
        <v>429</v>
      </c>
      <c r="K42" s="102">
        <f t="shared" si="12"/>
        <v>3834520</v>
      </c>
      <c r="L42" s="103" t="s">
        <v>439</v>
      </c>
      <c r="M42" s="103" t="s">
        <v>440</v>
      </c>
      <c r="N42" s="100">
        <f>'Safety CMFs'!$C$6</f>
        <v>0.85</v>
      </c>
      <c r="O42" s="99">
        <f t="shared" si="13"/>
        <v>0.85</v>
      </c>
      <c r="P42" s="99">
        <f t="shared" si="14"/>
        <v>2.5499999999999998</v>
      </c>
      <c r="Q42" s="99">
        <f t="shared" si="18"/>
        <v>3.4</v>
      </c>
      <c r="R42" s="99">
        <f t="shared" si="15"/>
        <v>33.15</v>
      </c>
      <c r="S42" s="99">
        <f t="shared" si="16"/>
        <v>153</v>
      </c>
      <c r="T42" s="99">
        <f t="shared" si="10"/>
        <v>3</v>
      </c>
      <c r="U42" s="109">
        <f t="shared" si="17"/>
        <v>1584752</v>
      </c>
      <c r="V42" s="191">
        <f t="shared" si="11"/>
        <v>2249768</v>
      </c>
    </row>
    <row r="43" spans="1:44" ht="15" thickBot="1" x14ac:dyDescent="0.35">
      <c r="A43" s="194" t="s">
        <v>34</v>
      </c>
      <c r="B43" s="195">
        <v>779</v>
      </c>
      <c r="C43" s="195"/>
      <c r="D43" s="195">
        <v>2</v>
      </c>
      <c r="E43" s="195">
        <v>36</v>
      </c>
      <c r="F43" s="195">
        <v>123</v>
      </c>
      <c r="G43" s="195">
        <v>601</v>
      </c>
      <c r="H43" s="195">
        <v>17</v>
      </c>
      <c r="I43" s="195"/>
      <c r="J43" s="196" t="s">
        <v>429</v>
      </c>
      <c r="K43" s="197">
        <f t="shared" si="12"/>
        <v>4471520</v>
      </c>
      <c r="L43" s="198" t="s">
        <v>439</v>
      </c>
      <c r="M43" s="198" t="s">
        <v>440</v>
      </c>
      <c r="N43" s="199">
        <f>'Safety CMFs'!$C$6</f>
        <v>0.85</v>
      </c>
      <c r="O43" s="195">
        <f t="shared" si="13"/>
        <v>0</v>
      </c>
      <c r="P43" s="195">
        <f t="shared" si="14"/>
        <v>1.7</v>
      </c>
      <c r="Q43" s="195">
        <f t="shared" si="18"/>
        <v>30.599999999999998</v>
      </c>
      <c r="R43" s="195">
        <f t="shared" si="15"/>
        <v>104.55</v>
      </c>
      <c r="S43" s="195">
        <f t="shared" si="16"/>
        <v>510.84999999999997</v>
      </c>
      <c r="T43" s="195">
        <f t="shared" si="10"/>
        <v>8.5</v>
      </c>
      <c r="U43" s="200">
        <f t="shared" si="17"/>
        <v>1773125.5</v>
      </c>
      <c r="V43" s="201">
        <f t="shared" si="11"/>
        <v>2698394.5</v>
      </c>
      <c r="AR43" s="18" t="e">
        <f>SUM(#REF!)</f>
        <v>#REF!</v>
      </c>
    </row>
    <row r="44" spans="1:44" x14ac:dyDescent="0.3">
      <c r="J44" s="2" t="s">
        <v>421</v>
      </c>
      <c r="K44" s="114">
        <f>SUM(K13:K27,K29:K42)</f>
        <v>84156570</v>
      </c>
      <c r="T44" s="1" t="s">
        <v>421</v>
      </c>
      <c r="U44" s="117">
        <f>SUM(U13:U27,U29:U43)</f>
        <v>37961002</v>
      </c>
      <c r="V44" s="117">
        <f>SUM(V13:V27,V29:V43)</f>
        <v>50667088</v>
      </c>
    </row>
    <row r="45" spans="1:44" x14ac:dyDescent="0.3">
      <c r="A45" t="s">
        <v>430</v>
      </c>
      <c r="U45" s="120"/>
      <c r="V45" s="120"/>
    </row>
    <row r="46" spans="1:44" x14ac:dyDescent="0.3">
      <c r="A46" t="s">
        <v>23</v>
      </c>
    </row>
    <row r="47" spans="1:44" x14ac:dyDescent="0.3">
      <c r="A47" t="s">
        <v>431</v>
      </c>
    </row>
    <row r="48" spans="1:44" x14ac:dyDescent="0.3">
      <c r="A48" t="s">
        <v>471</v>
      </c>
    </row>
    <row r="62" spans="19:19" x14ac:dyDescent="0.3">
      <c r="S62" s="23"/>
    </row>
  </sheetData>
  <sheetProtection algorithmName="SHA-512" hashValue="XJ0i2XKBWkm4LG33we4YsxKhTQermzSgQqfWaatYZmd1WeB3A78NYEvLsuj51xlvj3Iko/SUz4SsWCx5PSeq/Q==" saltValue="qD25tU9BqHwDWspymgLWRA==" spinCount="100000" sheet="1" objects="1" scenarios="1"/>
  <mergeCells count="2">
    <mergeCell ref="B11:H11"/>
    <mergeCell ref="O11:T11"/>
  </mergeCells>
  <phoneticPr fontId="7" type="noConversion"/>
  <pageMargins left="0.7" right="0.7" top="0.75" bottom="0.75" header="0.3" footer="0.3"/>
  <pageSetup orientation="portrait" horizontalDpi="4294967293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718304-312C-4E6A-BA14-0E90347F1146}">
  <sheetPr>
    <tabColor rgb="FF92D050"/>
  </sheetPr>
  <dimension ref="A1:E28"/>
  <sheetViews>
    <sheetView workbookViewId="0">
      <selection activeCell="B6" sqref="B6"/>
    </sheetView>
  </sheetViews>
  <sheetFormatPr defaultColWidth="9.109375" defaultRowHeight="14.4" x14ac:dyDescent="0.3"/>
  <cols>
    <col min="1" max="1" width="45.5546875" bestFit="1" customWidth="1"/>
    <col min="2" max="3" width="5.6640625" bestFit="1" customWidth="1"/>
    <col min="4" max="4" width="21.88671875" bestFit="1" customWidth="1"/>
    <col min="5" max="5" width="28.5546875" style="3" bestFit="1" customWidth="1"/>
  </cols>
  <sheetData>
    <row r="1" spans="1:5" x14ac:dyDescent="0.3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</row>
    <row r="2" spans="1:5" x14ac:dyDescent="0.3">
      <c r="A2" s="125" t="s">
        <v>153</v>
      </c>
      <c r="B2" s="125">
        <v>0.5</v>
      </c>
      <c r="C2" s="125">
        <v>0.5</v>
      </c>
      <c r="D2" s="125" t="s">
        <v>445</v>
      </c>
      <c r="E2" s="125" t="s">
        <v>446</v>
      </c>
    </row>
    <row r="3" spans="1:5" x14ac:dyDescent="0.3">
      <c r="A3" s="126" t="s">
        <v>447</v>
      </c>
      <c r="B3" s="127">
        <v>0.32</v>
      </c>
      <c r="C3" s="127">
        <v>0.68</v>
      </c>
      <c r="D3" s="127" t="s">
        <v>448</v>
      </c>
      <c r="E3" s="127" t="s">
        <v>451</v>
      </c>
    </row>
    <row r="4" spans="1:5" x14ac:dyDescent="0.3">
      <c r="A4" s="126" t="s">
        <v>449</v>
      </c>
      <c r="B4" s="127">
        <v>0.17</v>
      </c>
      <c r="C4" s="127">
        <v>0.83</v>
      </c>
      <c r="D4" s="127" t="s">
        <v>445</v>
      </c>
      <c r="E4" s="127" t="s">
        <v>452</v>
      </c>
    </row>
    <row r="5" spans="1:5" x14ac:dyDescent="0.3">
      <c r="A5" s="126" t="s">
        <v>450</v>
      </c>
      <c r="B5" s="127">
        <v>0.13</v>
      </c>
      <c r="C5" s="127">
        <v>0.87</v>
      </c>
      <c r="D5" s="127" t="s">
        <v>445</v>
      </c>
      <c r="E5" s="127" t="s">
        <v>453</v>
      </c>
    </row>
    <row r="6" spans="1:5" x14ac:dyDescent="0.3">
      <c r="A6" t="s">
        <v>442</v>
      </c>
      <c r="B6">
        <v>0.15</v>
      </c>
      <c r="C6">
        <v>0.85</v>
      </c>
      <c r="D6" t="s">
        <v>443</v>
      </c>
      <c r="E6" s="3" t="s">
        <v>454</v>
      </c>
    </row>
    <row r="12" spans="1:5" x14ac:dyDescent="0.3">
      <c r="A12" s="122"/>
    </row>
    <row r="13" spans="1:5" x14ac:dyDescent="0.3">
      <c r="A13" s="123"/>
    </row>
    <row r="14" spans="1:5" x14ac:dyDescent="0.3">
      <c r="A14" s="123"/>
    </row>
    <row r="15" spans="1:5" x14ac:dyDescent="0.3">
      <c r="A15" s="123"/>
    </row>
    <row r="16" spans="1:5" x14ac:dyDescent="0.3">
      <c r="A16" s="121"/>
    </row>
    <row r="17" spans="1:1" x14ac:dyDescent="0.3">
      <c r="A17" s="122"/>
    </row>
    <row r="18" spans="1:1" x14ac:dyDescent="0.3">
      <c r="A18" s="123"/>
    </row>
    <row r="19" spans="1:1" x14ac:dyDescent="0.3">
      <c r="A19" s="123"/>
    </row>
    <row r="20" spans="1:1" x14ac:dyDescent="0.3">
      <c r="A20" s="123"/>
    </row>
    <row r="21" spans="1:1" x14ac:dyDescent="0.3">
      <c r="A21" s="121"/>
    </row>
    <row r="22" spans="1:1" x14ac:dyDescent="0.3">
      <c r="A22" s="122"/>
    </row>
    <row r="23" spans="1:1" x14ac:dyDescent="0.3">
      <c r="A23" s="121"/>
    </row>
    <row r="24" spans="1:1" x14ac:dyDescent="0.3">
      <c r="A24" s="121"/>
    </row>
    <row r="25" spans="1:1" x14ac:dyDescent="0.3">
      <c r="A25" s="124"/>
    </row>
    <row r="26" spans="1:1" x14ac:dyDescent="0.3">
      <c r="A26" s="121"/>
    </row>
    <row r="27" spans="1:1" x14ac:dyDescent="0.3">
      <c r="A27" s="121"/>
    </row>
    <row r="28" spans="1:1" x14ac:dyDescent="0.3">
      <c r="A28" s="121"/>
    </row>
  </sheetData>
  <sheetProtection algorithmName="SHA-512" hashValue="qFMi4UJx9RwpprqTzYDqI2+FvVKeu2mdFJgKeSR3PExxR2cJf4snzCSF4mdwIQtoagrOXH7mU5auuhosC/z4zg==" saltValue="KWZTK6TBJN5ld6QxsVt3vQ==" spinCount="100000" sheet="1" objects="1" scenarios="1"/>
  <pageMargins left="0.7" right="0.7" top="0.75" bottom="0.75" header="0.3" footer="0.3"/>
  <pageSetup orientation="portrait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A618E-E48A-480C-B016-3831C561390B}">
  <sheetPr>
    <tabColor rgb="FF92D050"/>
  </sheetPr>
  <dimension ref="B1:BI258"/>
  <sheetViews>
    <sheetView zoomScale="70" zoomScaleNormal="70" workbookViewId="0">
      <selection activeCell="BF9" sqref="BF9:BF28"/>
    </sheetView>
  </sheetViews>
  <sheetFormatPr defaultRowHeight="14.4" x14ac:dyDescent="0.3"/>
  <cols>
    <col min="1" max="1" width="3.21875" customWidth="1"/>
    <col min="2" max="2" width="9.6640625" style="16" bestFit="1" customWidth="1"/>
    <col min="3" max="3" width="14" bestFit="1" customWidth="1"/>
    <col min="5" max="5" width="13.6640625" customWidth="1"/>
    <col min="6" max="6" width="12.88671875" customWidth="1"/>
    <col min="8" max="8" width="12" bestFit="1" customWidth="1"/>
    <col min="9" max="9" width="14.44140625" customWidth="1"/>
    <col min="10" max="10" width="18.44140625" customWidth="1"/>
    <col min="12" max="12" width="10.88671875" bestFit="1" customWidth="1"/>
    <col min="13" max="13" width="16" bestFit="1" customWidth="1"/>
    <col min="14" max="14" width="20.6640625" bestFit="1" customWidth="1"/>
    <col min="15" max="15" width="9" bestFit="1" customWidth="1"/>
    <col min="16" max="16" width="13.88671875" bestFit="1" customWidth="1"/>
    <col min="17" max="17" width="10.88671875" bestFit="1" customWidth="1"/>
    <col min="18" max="18" width="9.6640625" bestFit="1" customWidth="1"/>
    <col min="19" max="19" width="14.6640625" bestFit="1" customWidth="1"/>
    <col min="20" max="20" width="10.88671875" bestFit="1" customWidth="1"/>
    <col min="21" max="21" width="15.109375" bestFit="1" customWidth="1"/>
    <col min="22" max="22" width="10.21875" bestFit="1" customWidth="1"/>
    <col min="23" max="23" width="16.21875" bestFit="1" customWidth="1"/>
    <col min="24" max="24" width="12.88671875" bestFit="1" customWidth="1"/>
    <col min="25" max="26" width="13.6640625" bestFit="1" customWidth="1"/>
    <col min="27" max="27" width="10.88671875" bestFit="1" customWidth="1"/>
    <col min="28" max="28" width="16" bestFit="1" customWidth="1"/>
    <col min="29" max="29" width="12.6640625" customWidth="1"/>
    <col min="30" max="30" width="9" bestFit="1" customWidth="1"/>
    <col min="31" max="31" width="13.88671875" bestFit="1" customWidth="1"/>
    <col min="32" max="32" width="10.88671875" bestFit="1" customWidth="1"/>
    <col min="33" max="33" width="9.6640625" bestFit="1" customWidth="1"/>
    <col min="34" max="34" width="14.6640625" bestFit="1" customWidth="1"/>
    <col min="35" max="35" width="10.88671875" bestFit="1" customWidth="1"/>
    <col min="36" max="36" width="15.109375" bestFit="1" customWidth="1"/>
    <col min="37" max="37" width="10.21875" bestFit="1" customWidth="1"/>
    <col min="38" max="38" width="16.21875" bestFit="1" customWidth="1"/>
    <col min="39" max="39" width="12.88671875" bestFit="1" customWidth="1"/>
    <col min="40" max="40" width="13.6640625" bestFit="1" customWidth="1"/>
    <col min="41" max="41" width="13.109375" customWidth="1"/>
    <col min="42" max="42" width="16.6640625" bestFit="1" customWidth="1"/>
    <col min="43" max="43" width="13.5546875" bestFit="1" customWidth="1"/>
    <col min="44" max="44" width="16.44140625" customWidth="1"/>
    <col min="45" max="45" width="21.21875" bestFit="1" customWidth="1"/>
    <col min="46" max="46" width="12" bestFit="1" customWidth="1"/>
    <col min="47" max="47" width="14.109375" bestFit="1" customWidth="1"/>
    <col min="48" max="48" width="12" bestFit="1" customWidth="1"/>
    <col min="49" max="49" width="13.109375" bestFit="1" customWidth="1"/>
    <col min="50" max="50" width="15" bestFit="1" customWidth="1"/>
    <col min="51" max="51" width="12.44140625" bestFit="1" customWidth="1"/>
    <col min="52" max="52" width="15" bestFit="1" customWidth="1"/>
    <col min="53" max="53" width="12" bestFit="1" customWidth="1"/>
    <col min="54" max="54" width="12.6640625" bestFit="1" customWidth="1"/>
    <col min="55" max="55" width="13.109375" bestFit="1" customWidth="1"/>
    <col min="56" max="57" width="14" bestFit="1" customWidth="1"/>
    <col min="58" max="58" width="17.21875" bestFit="1" customWidth="1"/>
    <col min="59" max="59" width="11.109375" bestFit="1" customWidth="1"/>
    <col min="60" max="60" width="13" bestFit="1" customWidth="1"/>
    <col min="61" max="61" width="12" bestFit="1" customWidth="1"/>
  </cols>
  <sheetData>
    <row r="1" spans="2:61" ht="15" thickBot="1" x14ac:dyDescent="0.35"/>
    <row r="2" spans="2:61" ht="15" thickBot="1" x14ac:dyDescent="0.35">
      <c r="K2" s="151"/>
      <c r="L2" s="237" t="s">
        <v>203</v>
      </c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8"/>
      <c r="Z2" s="238"/>
      <c r="AA2" s="237" t="s">
        <v>204</v>
      </c>
      <c r="AB2" s="238"/>
      <c r="AC2" s="238"/>
      <c r="AD2" s="238"/>
      <c r="AE2" s="238"/>
      <c r="AF2" s="238"/>
      <c r="AG2" s="238"/>
      <c r="AH2" s="238"/>
      <c r="AI2" s="238"/>
      <c r="AJ2" s="238"/>
      <c r="AK2" s="238"/>
      <c r="AL2" s="238"/>
      <c r="AM2" s="238"/>
      <c r="AN2" s="238"/>
      <c r="AO2" s="238"/>
      <c r="AP2" s="235" t="s">
        <v>205</v>
      </c>
      <c r="AQ2" s="236"/>
      <c r="AR2" s="236"/>
      <c r="AS2" s="236"/>
      <c r="AT2" s="236"/>
      <c r="AU2" s="236"/>
      <c r="AV2" s="236"/>
      <c r="AW2" s="236"/>
      <c r="AX2" s="236"/>
      <c r="AY2" s="236"/>
      <c r="AZ2" s="236"/>
      <c r="BA2" s="236"/>
      <c r="BB2" s="236"/>
      <c r="BC2" s="236"/>
      <c r="BD2" s="236"/>
      <c r="BE2" s="236"/>
      <c r="BF2" s="210"/>
      <c r="BG2" s="140"/>
      <c r="BH2" s="140"/>
      <c r="BI2" s="141"/>
    </row>
    <row r="3" spans="2:61" ht="81" customHeight="1" thickBot="1" x14ac:dyDescent="0.35">
      <c r="B3" s="21" t="s">
        <v>60</v>
      </c>
      <c r="C3" s="22" t="s">
        <v>61</v>
      </c>
      <c r="K3" s="69" t="s">
        <v>58</v>
      </c>
      <c r="L3" s="69" t="s">
        <v>184</v>
      </c>
      <c r="M3" s="1" t="s">
        <v>185</v>
      </c>
      <c r="N3" s="1" t="s">
        <v>186</v>
      </c>
      <c r="O3" s="1" t="s">
        <v>187</v>
      </c>
      <c r="P3" s="1" t="s">
        <v>188</v>
      </c>
      <c r="Q3" s="1" t="s">
        <v>189</v>
      </c>
      <c r="R3" s="1" t="s">
        <v>190</v>
      </c>
      <c r="S3" s="1" t="s">
        <v>191</v>
      </c>
      <c r="T3" s="1" t="s">
        <v>192</v>
      </c>
      <c r="U3" s="1" t="s">
        <v>193</v>
      </c>
      <c r="V3" s="1" t="s">
        <v>194</v>
      </c>
      <c r="W3" s="1" t="s">
        <v>195</v>
      </c>
      <c r="X3" s="1" t="s">
        <v>196</v>
      </c>
      <c r="Y3" s="1" t="s">
        <v>197</v>
      </c>
      <c r="Z3" s="1" t="s">
        <v>198</v>
      </c>
      <c r="AA3" s="69" t="s">
        <v>184</v>
      </c>
      <c r="AB3" s="1" t="s">
        <v>185</v>
      </c>
      <c r="AC3" s="1" t="s">
        <v>186</v>
      </c>
      <c r="AD3" s="1" t="s">
        <v>187</v>
      </c>
      <c r="AE3" s="1" t="s">
        <v>188</v>
      </c>
      <c r="AF3" s="1" t="s">
        <v>189</v>
      </c>
      <c r="AG3" s="1" t="s">
        <v>190</v>
      </c>
      <c r="AH3" s="1" t="s">
        <v>191</v>
      </c>
      <c r="AI3" s="1" t="s">
        <v>192</v>
      </c>
      <c r="AJ3" s="1" t="s">
        <v>193</v>
      </c>
      <c r="AK3" s="1" t="s">
        <v>194</v>
      </c>
      <c r="AL3" s="1" t="s">
        <v>195</v>
      </c>
      <c r="AM3" s="1" t="s">
        <v>196</v>
      </c>
      <c r="AN3" s="1" t="s">
        <v>197</v>
      </c>
      <c r="AO3" s="1" t="s">
        <v>198</v>
      </c>
      <c r="AP3" s="69" t="s">
        <v>421</v>
      </c>
      <c r="AQ3" s="1" t="s">
        <v>184</v>
      </c>
      <c r="AR3" s="1" t="s">
        <v>185</v>
      </c>
      <c r="AS3" s="1" t="s">
        <v>186</v>
      </c>
      <c r="AT3" s="1" t="s">
        <v>187</v>
      </c>
      <c r="AU3" s="1" t="s">
        <v>188</v>
      </c>
      <c r="AV3" s="1" t="s">
        <v>189</v>
      </c>
      <c r="AW3" s="1" t="s">
        <v>190</v>
      </c>
      <c r="AX3" s="1" t="s">
        <v>191</v>
      </c>
      <c r="AY3" s="1" t="s">
        <v>192</v>
      </c>
      <c r="AZ3" s="1" t="s">
        <v>193</v>
      </c>
      <c r="BA3" s="1" t="s">
        <v>194</v>
      </c>
      <c r="BB3" s="1" t="s">
        <v>195</v>
      </c>
      <c r="BC3" s="1" t="s">
        <v>196</v>
      </c>
      <c r="BD3" s="1" t="s">
        <v>197</v>
      </c>
      <c r="BE3" s="1" t="s">
        <v>198</v>
      </c>
      <c r="BF3" s="96" t="s">
        <v>206</v>
      </c>
      <c r="BG3" s="96" t="s">
        <v>416</v>
      </c>
      <c r="BH3" s="96" t="s">
        <v>417</v>
      </c>
      <c r="BI3" s="147" t="s">
        <v>418</v>
      </c>
    </row>
    <row r="4" spans="2:61" ht="15" thickBot="1" x14ac:dyDescent="0.35">
      <c r="B4" s="233" t="s">
        <v>59</v>
      </c>
      <c r="C4" s="234"/>
      <c r="K4" s="165">
        <v>2023</v>
      </c>
      <c r="L4" s="60">
        <f>SUM(C62:C91)</f>
        <v>4383.719237596426</v>
      </c>
      <c r="M4" s="61">
        <f>SUM(C242:C252)</f>
        <v>798.88131518678688</v>
      </c>
      <c r="N4" s="61">
        <f>SUM(C153:C171)</f>
        <v>607.09792415066909</v>
      </c>
      <c r="O4" s="61">
        <f>SUM(C209:C215)</f>
        <v>223.59992222402732</v>
      </c>
      <c r="P4" s="61">
        <f>SUM(C231:C240)</f>
        <v>190.21996060338881</v>
      </c>
      <c r="Q4" s="61">
        <f>SUM(C254:C257)</f>
        <v>98.256204144375303</v>
      </c>
      <c r="R4" s="61">
        <f>SUM(C5:C36)</f>
        <v>4333.8809579801009</v>
      </c>
      <c r="S4" s="61">
        <f>SUM(C45:C60)</f>
        <v>1582.6625643603732</v>
      </c>
      <c r="T4" s="61">
        <f>SUM(C137:C151)</f>
        <v>618.04077558942834</v>
      </c>
      <c r="U4" s="61">
        <f>SUM(C119:C135)</f>
        <v>1021.3881218211717</v>
      </c>
      <c r="V4" s="61">
        <f>SUM(C38:C43)</f>
        <v>147.66676050727881</v>
      </c>
      <c r="W4" s="61">
        <f>SUM(C173:C183)</f>
        <v>700.68279206008435</v>
      </c>
      <c r="X4" s="61">
        <f>SUM(C217:C229)</f>
        <v>417.47500041162436</v>
      </c>
      <c r="Y4" s="61">
        <f>SUM(C93:C117)</f>
        <v>1275.7275810340243</v>
      </c>
      <c r="Z4" s="61">
        <f>SUM(C185:C207)</f>
        <v>1341.5431303894268</v>
      </c>
      <c r="AA4" s="19"/>
      <c r="AP4" s="19"/>
      <c r="BI4" s="59"/>
    </row>
    <row r="5" spans="2:61" x14ac:dyDescent="0.3">
      <c r="B5" s="77" t="s">
        <v>62</v>
      </c>
      <c r="C5" s="59">
        <v>5.6932165771867096</v>
      </c>
      <c r="K5" s="165">
        <v>2024</v>
      </c>
      <c r="L5" s="60">
        <f t="shared" ref="L5:L28" si="0">L4*(1+$K$32)</f>
        <v>4415.2820161071204</v>
      </c>
      <c r="M5" s="61">
        <f t="shared" ref="M5:M28" si="1">M4*(1+$K$32)</f>
        <v>804.63326065613182</v>
      </c>
      <c r="N5" s="61">
        <f t="shared" ref="N5:N28" si="2">N4*(1+$K$32)</f>
        <v>611.46902920455398</v>
      </c>
      <c r="O5" s="61">
        <f t="shared" ref="O5:O28" si="3">O4*(1+$K$32)</f>
        <v>225.20984166404034</v>
      </c>
      <c r="P5" s="61">
        <f t="shared" ref="P5:P28" si="4">P4*(1+$K$32)</f>
        <v>191.58954431973322</v>
      </c>
      <c r="Q5" s="61">
        <f t="shared" ref="Q5:Q28" si="5">Q4*(1+$K$32)</f>
        <v>98.963648814214821</v>
      </c>
      <c r="R5" s="61">
        <f t="shared" ref="R5:R28" si="6">R4*(1+$K$32)</f>
        <v>4365.0849008775576</v>
      </c>
      <c r="S5" s="61">
        <f t="shared" ref="S5:S28" si="7">S4*(1+$K$32)</f>
        <v>1594.057734823768</v>
      </c>
      <c r="T5" s="61">
        <f t="shared" ref="T5:T28" si="8">T4*(1+$K$32)</f>
        <v>622.49066917367225</v>
      </c>
      <c r="U5" s="61">
        <f t="shared" ref="U5:U28" si="9">U4*(1+$K$32)</f>
        <v>1028.7421162982841</v>
      </c>
      <c r="V5" s="61">
        <f t="shared" ref="V5:V28" si="10">V4*(1+$K$32)</f>
        <v>148.72996118293122</v>
      </c>
      <c r="W5" s="61">
        <f t="shared" ref="W5:W28" si="11">W4*(1+$K$32)</f>
        <v>705.727708162917</v>
      </c>
      <c r="X5" s="61">
        <f t="shared" ref="X5:X28" si="12">X4*(1+$K$32)</f>
        <v>420.48082041458809</v>
      </c>
      <c r="Y5" s="61">
        <f t="shared" ref="Y5:Y28" si="13">Y4*(1+$K$32)</f>
        <v>1284.9128196174695</v>
      </c>
      <c r="Z5" s="61">
        <f t="shared" ref="Z5:Z28" si="14">Z4*(1+$K$32)</f>
        <v>1351.2022409282308</v>
      </c>
      <c r="AA5" s="19"/>
      <c r="AP5" s="19"/>
      <c r="BI5" s="142"/>
    </row>
    <row r="6" spans="2:61" x14ac:dyDescent="0.3">
      <c r="B6" s="77" t="s">
        <v>63</v>
      </c>
      <c r="C6" s="59">
        <v>36.137498566039653</v>
      </c>
      <c r="K6" s="165">
        <v>2025</v>
      </c>
      <c r="L6" s="60">
        <f t="shared" si="0"/>
        <v>4447.0720466230923</v>
      </c>
      <c r="M6" s="61">
        <f t="shared" si="1"/>
        <v>810.4266201328561</v>
      </c>
      <c r="N6" s="61">
        <f t="shared" si="2"/>
        <v>615.87160621482678</v>
      </c>
      <c r="O6" s="61">
        <f t="shared" si="3"/>
        <v>226.83135252402144</v>
      </c>
      <c r="P6" s="61">
        <f t="shared" si="4"/>
        <v>192.96898903883533</v>
      </c>
      <c r="Q6" s="61">
        <f t="shared" si="5"/>
        <v>99.676187085677171</v>
      </c>
      <c r="R6" s="61">
        <f t="shared" si="6"/>
        <v>4396.5135121638768</v>
      </c>
      <c r="S6" s="61">
        <f t="shared" si="7"/>
        <v>1605.5349505144993</v>
      </c>
      <c r="T6" s="61">
        <f t="shared" si="8"/>
        <v>626.97260199172274</v>
      </c>
      <c r="U6" s="61">
        <f t="shared" si="9"/>
        <v>1036.149059535632</v>
      </c>
      <c r="V6" s="61">
        <f t="shared" si="10"/>
        <v>149.80081690344835</v>
      </c>
      <c r="W6" s="61">
        <f t="shared" si="11"/>
        <v>710.80894766169001</v>
      </c>
      <c r="X6" s="61">
        <f t="shared" si="12"/>
        <v>423.50828232157318</v>
      </c>
      <c r="Y6" s="61">
        <f t="shared" si="13"/>
        <v>1294.1641919187155</v>
      </c>
      <c r="Z6" s="61">
        <f t="shared" si="14"/>
        <v>1360.9308970629143</v>
      </c>
      <c r="AA6" s="19"/>
      <c r="AP6" s="19"/>
      <c r="BI6" s="142"/>
    </row>
    <row r="7" spans="2:61" x14ac:dyDescent="0.3">
      <c r="B7" s="77" t="s">
        <v>64</v>
      </c>
      <c r="C7" s="59">
        <v>38.673627605419561</v>
      </c>
      <c r="K7" s="165">
        <v>2026</v>
      </c>
      <c r="L7" s="60">
        <f t="shared" si="0"/>
        <v>4479.0909653587787</v>
      </c>
      <c r="M7" s="61">
        <f t="shared" si="1"/>
        <v>816.26169179781277</v>
      </c>
      <c r="N7" s="61">
        <f t="shared" si="2"/>
        <v>620.30588177957361</v>
      </c>
      <c r="O7" s="61">
        <f t="shared" si="3"/>
        <v>228.46453826219442</v>
      </c>
      <c r="P7" s="61">
        <f t="shared" si="4"/>
        <v>194.35836575991496</v>
      </c>
      <c r="Q7" s="61">
        <f t="shared" si="5"/>
        <v>100.39385563269406</v>
      </c>
      <c r="R7" s="61">
        <f t="shared" si="6"/>
        <v>4428.1684094514576</v>
      </c>
      <c r="S7" s="61">
        <f t="shared" si="7"/>
        <v>1617.0948021582039</v>
      </c>
      <c r="T7" s="61">
        <f t="shared" si="8"/>
        <v>631.48680472606316</v>
      </c>
      <c r="U7" s="61">
        <f t="shared" si="9"/>
        <v>1043.6093327642886</v>
      </c>
      <c r="V7" s="61">
        <f t="shared" si="10"/>
        <v>150.87938278515318</v>
      </c>
      <c r="W7" s="61">
        <f t="shared" si="11"/>
        <v>715.92677208485429</v>
      </c>
      <c r="X7" s="61">
        <f t="shared" si="12"/>
        <v>426.55754195428852</v>
      </c>
      <c r="Y7" s="61">
        <f t="shared" si="13"/>
        <v>1303.4821741005303</v>
      </c>
      <c r="Z7" s="61">
        <f t="shared" si="14"/>
        <v>1370.7295995217673</v>
      </c>
      <c r="AA7" s="19"/>
      <c r="AP7" s="19"/>
      <c r="BI7" s="142"/>
    </row>
    <row r="8" spans="2:61" x14ac:dyDescent="0.3">
      <c r="B8" s="77" t="s">
        <v>65</v>
      </c>
      <c r="C8" s="59">
        <v>127.82796591850922</v>
      </c>
      <c r="K8" s="165">
        <v>2027</v>
      </c>
      <c r="L8" s="60">
        <f t="shared" si="0"/>
        <v>4511.3404203093623</v>
      </c>
      <c r="M8" s="61">
        <f t="shared" si="1"/>
        <v>822.13877597875705</v>
      </c>
      <c r="N8" s="61">
        <f t="shared" si="2"/>
        <v>624.77208412838661</v>
      </c>
      <c r="O8" s="61">
        <f t="shared" si="3"/>
        <v>230.10948293768226</v>
      </c>
      <c r="P8" s="61">
        <f t="shared" si="4"/>
        <v>195.75774599338638</v>
      </c>
      <c r="Q8" s="61">
        <f t="shared" si="5"/>
        <v>101.11669139324947</v>
      </c>
      <c r="R8" s="61">
        <f t="shared" si="6"/>
        <v>4460.0512219995089</v>
      </c>
      <c r="S8" s="61">
        <f t="shared" si="7"/>
        <v>1628.7378847337432</v>
      </c>
      <c r="T8" s="61">
        <f t="shared" si="8"/>
        <v>636.03350972009082</v>
      </c>
      <c r="U8" s="61">
        <f t="shared" si="9"/>
        <v>1051.1233199601916</v>
      </c>
      <c r="V8" s="61">
        <f t="shared" si="10"/>
        <v>151.96571434120631</v>
      </c>
      <c r="W8" s="61">
        <f t="shared" si="11"/>
        <v>721.08144484386526</v>
      </c>
      <c r="X8" s="61">
        <f t="shared" si="12"/>
        <v>429.62875625635945</v>
      </c>
      <c r="Y8" s="61">
        <f t="shared" si="13"/>
        <v>1312.8672457540542</v>
      </c>
      <c r="Z8" s="61">
        <f t="shared" si="14"/>
        <v>1380.5988526383242</v>
      </c>
      <c r="AA8" s="19"/>
      <c r="AP8" s="19"/>
      <c r="BI8" s="142"/>
    </row>
    <row r="9" spans="2:61" x14ac:dyDescent="0.3">
      <c r="B9" s="77" t="s">
        <v>66</v>
      </c>
      <c r="C9" s="59">
        <v>542.48866663615263</v>
      </c>
      <c r="K9" s="165">
        <v>2028</v>
      </c>
      <c r="L9" s="60">
        <f t="shared" si="0"/>
        <v>4543.8220713355904</v>
      </c>
      <c r="M9" s="61">
        <f t="shared" si="1"/>
        <v>828.05817516580419</v>
      </c>
      <c r="N9" s="61">
        <f t="shared" si="2"/>
        <v>629.27044313411102</v>
      </c>
      <c r="O9" s="61">
        <f t="shared" si="3"/>
        <v>231.76627121483358</v>
      </c>
      <c r="P9" s="61">
        <f t="shared" si="4"/>
        <v>197.16720176453879</v>
      </c>
      <c r="Q9" s="61">
        <f t="shared" si="5"/>
        <v>101.84473157128087</v>
      </c>
      <c r="R9" s="61">
        <f t="shared" si="6"/>
        <v>4492.1635907979062</v>
      </c>
      <c r="S9" s="61">
        <f t="shared" si="7"/>
        <v>1640.4647975038263</v>
      </c>
      <c r="T9" s="61">
        <f t="shared" si="8"/>
        <v>640.61295099007555</v>
      </c>
      <c r="U9" s="61">
        <f t="shared" si="9"/>
        <v>1058.6914078639049</v>
      </c>
      <c r="V9" s="61">
        <f t="shared" si="10"/>
        <v>153.05986748446301</v>
      </c>
      <c r="W9" s="61">
        <f t="shared" si="11"/>
        <v>726.27323124674115</v>
      </c>
      <c r="X9" s="61">
        <f t="shared" si="12"/>
        <v>432.72208330140529</v>
      </c>
      <c r="Y9" s="61">
        <f t="shared" si="13"/>
        <v>1322.3198899234835</v>
      </c>
      <c r="Z9" s="61">
        <f t="shared" si="14"/>
        <v>1390.5391643773203</v>
      </c>
      <c r="AA9" s="60">
        <f t="shared" ref="AA9:AO10" si="15">L9*(1+$K$34)</f>
        <v>4688.7699954111959</v>
      </c>
      <c r="AB9" s="61">
        <f t="shared" si="15"/>
        <v>854.47323095359343</v>
      </c>
      <c r="AC9" s="61">
        <f t="shared" si="15"/>
        <v>649.34417027008919</v>
      </c>
      <c r="AD9" s="61">
        <f t="shared" si="15"/>
        <v>239.15961526658677</v>
      </c>
      <c r="AE9" s="61">
        <f t="shared" si="15"/>
        <v>203.45683550082759</v>
      </c>
      <c r="AF9" s="61">
        <f t="shared" si="15"/>
        <v>105.09357850840473</v>
      </c>
      <c r="AG9" s="61">
        <f t="shared" si="15"/>
        <v>4635.4636093443596</v>
      </c>
      <c r="AH9" s="61">
        <f t="shared" si="15"/>
        <v>1692.7956245441983</v>
      </c>
      <c r="AI9" s="61">
        <f t="shared" si="15"/>
        <v>661.04850412665894</v>
      </c>
      <c r="AJ9" s="61">
        <f t="shared" si="15"/>
        <v>1092.4636637747635</v>
      </c>
      <c r="AK9" s="61">
        <f t="shared" si="15"/>
        <v>157.94247725721738</v>
      </c>
      <c r="AL9" s="61">
        <f t="shared" si="15"/>
        <v>749.44134732351222</v>
      </c>
      <c r="AM9" s="61">
        <f t="shared" si="15"/>
        <v>446.52591775872014</v>
      </c>
      <c r="AN9" s="61">
        <f t="shared" si="15"/>
        <v>1364.5018944120427</v>
      </c>
      <c r="AO9" s="61">
        <f t="shared" si="15"/>
        <v>1434.8973637209569</v>
      </c>
      <c r="AP9" s="143">
        <f t="shared" ref="AP9:AP28" si="16">(SUM(AA9:AO9)-SUM(L9:Z9))*$K$36</f>
        <v>4223.5340435844437</v>
      </c>
      <c r="AQ9" s="63">
        <f t="shared" ref="AQ9:AQ28" si="17">(AA9-L9)*$K$36</f>
        <v>1043.6250533443592</v>
      </c>
      <c r="AR9" s="63">
        <f t="shared" ref="AR9:AR28" si="18">(AB9-M9)*$K$36</f>
        <v>190.18840167208256</v>
      </c>
      <c r="AS9" s="63">
        <f t="shared" ref="AS9:AS28" si="19">(AC9-N9)*$K$36</f>
        <v>144.53083537904286</v>
      </c>
      <c r="AT9" s="63">
        <f t="shared" ref="AT9:AT28" si="20">(AD9-O9)*$K$36</f>
        <v>53.232077172622965</v>
      </c>
      <c r="AU9" s="63">
        <f t="shared" ref="AU9:AU28" si="21">(AE9-P9)*$K$36</f>
        <v>45.285362901279406</v>
      </c>
      <c r="AV9" s="63">
        <f t="shared" ref="AV9:AV28" si="22">(AF9-Q9)*$K$36</f>
        <v>23.391697947291778</v>
      </c>
      <c r="AW9" s="63">
        <f t="shared" ref="AW9:AW28" si="23">(AG9-R9)*$K$36</f>
        <v>1031.7601335344648</v>
      </c>
      <c r="AX9" s="63">
        <f t="shared" ref="AX9:AX28" si="24">(AH9-S9)*$K$36</f>
        <v>376.7819546906785</v>
      </c>
      <c r="AY9" s="63">
        <f t="shared" ref="AY9:AY28" si="25">(AI9-T9)*$K$36</f>
        <v>147.13598258340045</v>
      </c>
      <c r="AZ9" s="63">
        <f t="shared" ref="AZ9:AZ28" si="26">(AJ9-U9)*$K$36</f>
        <v>243.16024255818175</v>
      </c>
      <c r="BA9" s="63">
        <f t="shared" ref="BA9:BA28" si="27">(AK9-V9)*$K$36</f>
        <v>35.154790363831424</v>
      </c>
      <c r="BB9" s="63">
        <f t="shared" ref="BB9:BB28" si="28">(AL9-W9)*$K$36</f>
        <v>166.81043575275172</v>
      </c>
      <c r="BC9" s="63">
        <f t="shared" ref="BC9:BC28" si="29">(AM9-X9)*$K$36</f>
        <v>99.387608092666923</v>
      </c>
      <c r="BD9" s="63">
        <f t="shared" ref="BD9:BD28" si="30">(AN9-Y9)*$K$36</f>
        <v>303.71043231762616</v>
      </c>
      <c r="BE9" s="63">
        <f t="shared" ref="BE9:BE28" si="31">(AO9-Z9)*$K$36</f>
        <v>319.37903527418405</v>
      </c>
      <c r="BF9" s="70">
        <f>(SUM(AA9:AO9)-SUM(L9:Z9))</f>
        <v>586.60195049783943</v>
      </c>
      <c r="BG9" s="80">
        <f>$BF9*'Health - Emissions'!$G$44</f>
        <v>97.561884920154995</v>
      </c>
      <c r="BH9" s="80">
        <f>$BF9*'Health - Emissions'!$G$45</f>
        <v>489.04006557768446</v>
      </c>
      <c r="BI9" s="142">
        <f>($BG9*'Health - Emissions'!$C$40)+($BH9*'Health - Emissions'!$C$41)</f>
        <v>476.14781157198968</v>
      </c>
    </row>
    <row r="10" spans="2:61" x14ac:dyDescent="0.3">
      <c r="B10" s="77" t="s">
        <v>67</v>
      </c>
      <c r="C10" s="59">
        <v>335.74097092509999</v>
      </c>
      <c r="K10" s="165">
        <v>2029</v>
      </c>
      <c r="L10" s="60">
        <f t="shared" si="0"/>
        <v>4576.5375902492069</v>
      </c>
      <c r="M10" s="61">
        <f t="shared" si="1"/>
        <v>834.02019402699807</v>
      </c>
      <c r="N10" s="61">
        <f t="shared" si="2"/>
        <v>633.80119032467667</v>
      </c>
      <c r="O10" s="61">
        <f t="shared" si="3"/>
        <v>233.43498836758042</v>
      </c>
      <c r="P10" s="61">
        <f t="shared" si="4"/>
        <v>198.5868056172435</v>
      </c>
      <c r="Q10" s="61">
        <f t="shared" si="5"/>
        <v>102.5780136385941</v>
      </c>
      <c r="R10" s="61">
        <f t="shared" si="6"/>
        <v>4524.5071686516512</v>
      </c>
      <c r="S10" s="61">
        <f t="shared" si="7"/>
        <v>1652.2761440458539</v>
      </c>
      <c r="T10" s="61">
        <f t="shared" si="8"/>
        <v>645.22536423720419</v>
      </c>
      <c r="U10" s="61">
        <f t="shared" si="9"/>
        <v>1066.3139860005251</v>
      </c>
      <c r="V10" s="61">
        <f t="shared" si="10"/>
        <v>154.16189853035115</v>
      </c>
      <c r="W10" s="61">
        <f t="shared" si="11"/>
        <v>731.50239851171773</v>
      </c>
      <c r="X10" s="61">
        <f t="shared" si="12"/>
        <v>435.83768230117545</v>
      </c>
      <c r="Y10" s="61">
        <f t="shared" si="13"/>
        <v>1331.8405931309328</v>
      </c>
      <c r="Z10" s="61">
        <f t="shared" si="14"/>
        <v>1400.5510463608371</v>
      </c>
      <c r="AA10" s="60">
        <f t="shared" si="15"/>
        <v>4722.5291393781572</v>
      </c>
      <c r="AB10" s="61">
        <f t="shared" si="15"/>
        <v>860.62543821645932</v>
      </c>
      <c r="AC10" s="61">
        <f t="shared" si="15"/>
        <v>654.01944829603383</v>
      </c>
      <c r="AD10" s="61">
        <f t="shared" si="15"/>
        <v>240.88156449650623</v>
      </c>
      <c r="AE10" s="61">
        <f t="shared" si="15"/>
        <v>204.92172471643357</v>
      </c>
      <c r="AF10" s="61">
        <f t="shared" si="15"/>
        <v>105.85025227366526</v>
      </c>
      <c r="AG10" s="61">
        <f t="shared" si="15"/>
        <v>4668.8389473316392</v>
      </c>
      <c r="AH10" s="61">
        <f t="shared" si="15"/>
        <v>1704.9837530409168</v>
      </c>
      <c r="AI10" s="61">
        <f t="shared" si="15"/>
        <v>665.80805335637103</v>
      </c>
      <c r="AJ10" s="61">
        <f t="shared" si="15"/>
        <v>1100.3294021539418</v>
      </c>
      <c r="AK10" s="61">
        <f t="shared" si="15"/>
        <v>159.07966309346935</v>
      </c>
      <c r="AL10" s="61">
        <f t="shared" si="15"/>
        <v>754.83732502424152</v>
      </c>
      <c r="AM10" s="61">
        <f t="shared" si="15"/>
        <v>449.74090436658298</v>
      </c>
      <c r="AN10" s="61">
        <f t="shared" si="15"/>
        <v>1374.3263080518095</v>
      </c>
      <c r="AO10" s="61">
        <f t="shared" si="15"/>
        <v>1445.2286247397478</v>
      </c>
      <c r="AP10" s="143">
        <f t="shared" si="16"/>
        <v>4253.9434886982726</v>
      </c>
      <c r="AQ10" s="63">
        <f t="shared" si="17"/>
        <v>1051.1391537284421</v>
      </c>
      <c r="AR10" s="63">
        <f t="shared" si="18"/>
        <v>191.55775816412097</v>
      </c>
      <c r="AS10" s="63">
        <f t="shared" si="19"/>
        <v>145.57145739377157</v>
      </c>
      <c r="AT10" s="63">
        <f t="shared" si="20"/>
        <v>53.61534812826585</v>
      </c>
      <c r="AU10" s="63">
        <f t="shared" si="21"/>
        <v>45.611417514168537</v>
      </c>
      <c r="AV10" s="63">
        <f t="shared" si="22"/>
        <v>23.560118172512365</v>
      </c>
      <c r="AW10" s="63">
        <f t="shared" si="23"/>
        <v>1039.1888064959137</v>
      </c>
      <c r="AX10" s="63">
        <f t="shared" si="24"/>
        <v>379.49478476445256</v>
      </c>
      <c r="AY10" s="63">
        <f t="shared" si="25"/>
        <v>148.19536165800127</v>
      </c>
      <c r="AZ10" s="63">
        <f t="shared" si="26"/>
        <v>244.9109963046003</v>
      </c>
      <c r="BA10" s="63">
        <f t="shared" si="27"/>
        <v>35.407904854451026</v>
      </c>
      <c r="BB10" s="63">
        <f t="shared" si="28"/>
        <v>168.01147089017132</v>
      </c>
      <c r="BC10" s="63">
        <f t="shared" si="29"/>
        <v>100.10319887093424</v>
      </c>
      <c r="BD10" s="63">
        <f t="shared" si="30"/>
        <v>305.89714743031237</v>
      </c>
      <c r="BE10" s="63">
        <f t="shared" si="31"/>
        <v>321.67856432815751</v>
      </c>
      <c r="BF10" s="70">
        <f>(SUM(AA10:AO10)-SUM(L10:Z10))</f>
        <v>590.8254845414267</v>
      </c>
      <c r="BG10" s="80">
        <f>$BF10*'Health - Emissions'!$G$44</f>
        <v>98.26433049158058</v>
      </c>
      <c r="BH10" s="80">
        <f>$BF10*'Health - Emissions'!$G$45</f>
        <v>492.5611540498461</v>
      </c>
      <c r="BI10" s="142">
        <f>($BG10*'Health - Emissions'!$C$40)+($BH10*'Health - Emissions'!$C$41)</f>
        <v>479.57607581531028</v>
      </c>
    </row>
    <row r="11" spans="2:61" x14ac:dyDescent="0.3">
      <c r="B11" s="77" t="s">
        <v>68</v>
      </c>
      <c r="C11" s="59">
        <v>39.68840985677295</v>
      </c>
      <c r="K11" s="165">
        <v>2030</v>
      </c>
      <c r="L11" s="60">
        <f t="shared" si="0"/>
        <v>4609.4886608990018</v>
      </c>
      <c r="M11" s="61">
        <f t="shared" si="1"/>
        <v>840.02513942399253</v>
      </c>
      <c r="N11" s="61">
        <f t="shared" si="2"/>
        <v>638.3645588950144</v>
      </c>
      <c r="O11" s="61">
        <f t="shared" si="3"/>
        <v>235.11572028382702</v>
      </c>
      <c r="P11" s="61">
        <f t="shared" si="4"/>
        <v>200.01663061768767</v>
      </c>
      <c r="Q11" s="61">
        <f t="shared" si="5"/>
        <v>103.31657533679198</v>
      </c>
      <c r="R11" s="61">
        <f t="shared" si="6"/>
        <v>4557.0836202659439</v>
      </c>
      <c r="S11" s="61">
        <f t="shared" si="7"/>
        <v>1664.1725322829843</v>
      </c>
      <c r="T11" s="61">
        <f t="shared" si="8"/>
        <v>649.87098685971216</v>
      </c>
      <c r="U11" s="61">
        <f t="shared" si="9"/>
        <v>1073.9914466997291</v>
      </c>
      <c r="V11" s="61">
        <f t="shared" si="10"/>
        <v>155.27186419976971</v>
      </c>
      <c r="W11" s="61">
        <f t="shared" si="11"/>
        <v>736.76921578100212</v>
      </c>
      <c r="X11" s="61">
        <f t="shared" si="12"/>
        <v>438.97571361374395</v>
      </c>
      <c r="Y11" s="61">
        <f t="shared" si="13"/>
        <v>1341.4298454014756</v>
      </c>
      <c r="Z11" s="61">
        <f t="shared" si="14"/>
        <v>1410.6350138946352</v>
      </c>
      <c r="AA11" s="60">
        <f t="shared" ref="AA11:AO11" si="32">AA10*(1+$K$32)*(1+$K$34)</f>
        <v>4908.2646992205764</v>
      </c>
      <c r="AB11" s="61">
        <f t="shared" si="32"/>
        <v>894.47356130137246</v>
      </c>
      <c r="AC11" s="61">
        <f t="shared" si="32"/>
        <v>679.74182391129352</v>
      </c>
      <c r="AD11" s="61">
        <f t="shared" si="32"/>
        <v>250.35535934605321</v>
      </c>
      <c r="AE11" s="61">
        <f t="shared" si="32"/>
        <v>212.98123057457903</v>
      </c>
      <c r="AF11" s="61">
        <f t="shared" si="32"/>
        <v>110.0133088235078</v>
      </c>
      <c r="AG11" s="61">
        <f t="shared" si="32"/>
        <v>4852.4628891017301</v>
      </c>
      <c r="AH11" s="61">
        <f t="shared" si="32"/>
        <v>1772.0402184532152</v>
      </c>
      <c r="AI11" s="61">
        <f t="shared" si="32"/>
        <v>691.99407103630006</v>
      </c>
      <c r="AJ11" s="61">
        <f t="shared" si="32"/>
        <v>1143.6050054352477</v>
      </c>
      <c r="AK11" s="61">
        <f t="shared" si="32"/>
        <v>165.33621533744332</v>
      </c>
      <c r="AL11" s="61">
        <f t="shared" si="32"/>
        <v>784.524835469501</v>
      </c>
      <c r="AM11" s="61">
        <f t="shared" si="32"/>
        <v>467.42907021823135</v>
      </c>
      <c r="AN11" s="61">
        <f t="shared" si="32"/>
        <v>1428.3781219630689</v>
      </c>
      <c r="AO11" s="61">
        <f t="shared" si="32"/>
        <v>1502.0690040776024</v>
      </c>
      <c r="AP11" s="143">
        <f t="shared" si="16"/>
        <v>8705.8216066637342</v>
      </c>
      <c r="AQ11" s="63">
        <f t="shared" si="17"/>
        <v>2151.187475915337</v>
      </c>
      <c r="AR11" s="63">
        <f t="shared" si="18"/>
        <v>392.02863751713551</v>
      </c>
      <c r="AS11" s="63">
        <f t="shared" si="19"/>
        <v>297.91630811720972</v>
      </c>
      <c r="AT11" s="63">
        <f t="shared" si="20"/>
        <v>109.72540124802856</v>
      </c>
      <c r="AU11" s="63">
        <f t="shared" si="21"/>
        <v>93.345119689617817</v>
      </c>
      <c r="AV11" s="63">
        <f t="shared" si="22"/>
        <v>48.216481104353868</v>
      </c>
      <c r="AW11" s="63">
        <f t="shared" si="23"/>
        <v>2126.7307356176607</v>
      </c>
      <c r="AX11" s="63">
        <f t="shared" si="24"/>
        <v>776.64734042566215</v>
      </c>
      <c r="AY11" s="63">
        <f t="shared" si="25"/>
        <v>303.28620607143284</v>
      </c>
      <c r="AZ11" s="63">
        <f t="shared" si="26"/>
        <v>501.217622895734</v>
      </c>
      <c r="BA11" s="63">
        <f t="shared" si="27"/>
        <v>72.46332819125</v>
      </c>
      <c r="BB11" s="63">
        <f t="shared" si="28"/>
        <v>343.84046175719197</v>
      </c>
      <c r="BC11" s="63">
        <f t="shared" si="29"/>
        <v>204.86416755230925</v>
      </c>
      <c r="BD11" s="63">
        <f t="shared" si="30"/>
        <v>626.02759124347165</v>
      </c>
      <c r="BE11" s="63">
        <f t="shared" si="31"/>
        <v>658.32472931736345</v>
      </c>
      <c r="BF11" s="70">
        <f t="shared" ref="BF11:BF28" si="33">(SUM(AA11:AO11)-SUM(L11:Z11))</f>
        <v>1209.1418898144075</v>
      </c>
      <c r="BG11" s="80">
        <f>$BF11*'Health - Emissions'!$G$44</f>
        <v>201.10086883634807</v>
      </c>
      <c r="BH11" s="80">
        <f>$BF11*'Health - Emissions'!$G$45</f>
        <v>1008.0410209780594</v>
      </c>
      <c r="BI11" s="142">
        <f>($BG11*'Health - Emissions'!$C$40)+($BH11*'Health - Emissions'!$C$41)</f>
        <v>981.46667297395993</v>
      </c>
    </row>
    <row r="12" spans="2:61" x14ac:dyDescent="0.3">
      <c r="B12" s="77" t="s">
        <v>69</v>
      </c>
      <c r="C12" s="59">
        <v>122.27272830924151</v>
      </c>
      <c r="K12" s="165">
        <v>2031</v>
      </c>
      <c r="L12" s="60">
        <f t="shared" si="0"/>
        <v>4642.6769792574751</v>
      </c>
      <c r="M12" s="61">
        <f t="shared" si="1"/>
        <v>846.07332042784537</v>
      </c>
      <c r="N12" s="61">
        <f t="shared" si="2"/>
        <v>642.96078371905855</v>
      </c>
      <c r="O12" s="61">
        <f t="shared" si="3"/>
        <v>236.80855346987059</v>
      </c>
      <c r="P12" s="61">
        <f t="shared" si="4"/>
        <v>201.45675035813503</v>
      </c>
      <c r="Q12" s="61">
        <f t="shared" si="5"/>
        <v>104.0604546792169</v>
      </c>
      <c r="R12" s="61">
        <f t="shared" si="6"/>
        <v>4589.894622331859</v>
      </c>
      <c r="S12" s="61">
        <f t="shared" si="7"/>
        <v>1676.1545745154219</v>
      </c>
      <c r="T12" s="61">
        <f t="shared" si="8"/>
        <v>654.55005796510216</v>
      </c>
      <c r="U12" s="61">
        <f t="shared" si="9"/>
        <v>1081.7241851159672</v>
      </c>
      <c r="V12" s="61">
        <f t="shared" si="10"/>
        <v>156.38982162200807</v>
      </c>
      <c r="W12" s="61">
        <f t="shared" si="11"/>
        <v>742.07395413462541</v>
      </c>
      <c r="X12" s="61">
        <f t="shared" si="12"/>
        <v>442.13633875176293</v>
      </c>
      <c r="Y12" s="61">
        <f t="shared" si="13"/>
        <v>1351.0881402883663</v>
      </c>
      <c r="Z12" s="61">
        <f t="shared" si="14"/>
        <v>1420.7915859946768</v>
      </c>
      <c r="AA12" s="60">
        <f t="shared" ref="AA12:AA28" si="34">AA11*(1+$K$32)*(1+$K$34)</f>
        <v>5101.3051791962189</v>
      </c>
      <c r="AB12" s="61">
        <f t="shared" ref="AB12:AB26" si="35">AB11*(1+$K$32)*(1+$K$34)</f>
        <v>929.65292023581594</v>
      </c>
      <c r="AC12" s="61">
        <f t="shared" ref="AC12:AC26" si="36">AC11*(1+$K$32)*(1+$K$34)</f>
        <v>706.47585232834115</v>
      </c>
      <c r="AD12" s="61">
        <f t="shared" ref="AD12:AD26" si="37">AD11*(1+$K$32)*(1+$K$34)</f>
        <v>260.20175551541854</v>
      </c>
      <c r="AE12" s="61">
        <f t="shared" ref="AE12:AE26" si="38">AE11*(1+$K$32)*(1+$K$34)</f>
        <v>221.35771421908348</v>
      </c>
      <c r="AF12" s="61">
        <f t="shared" ref="AF12:AF26" si="39">AF11*(1+$K$32)*(1+$K$34)</f>
        <v>114.34009705527755</v>
      </c>
      <c r="AG12" s="61">
        <f t="shared" ref="AG12:AG26" si="40">AG11*(1+$K$32)*(1+$K$34)</f>
        <v>5043.3087017419766</v>
      </c>
      <c r="AH12" s="61">
        <f t="shared" ref="AH12:AH26" si="41">AH11*(1+$K$32)*(1+$K$34)</f>
        <v>1841.7339931921103</v>
      </c>
      <c r="AI12" s="61">
        <f t="shared" ref="AI12:AI26" si="42">AI11*(1+$K$32)*(1+$K$34)</f>
        <v>719.20997641205508</v>
      </c>
      <c r="AJ12" s="61">
        <f t="shared" ref="AJ12:AJ26" si="43">AJ11*(1+$K$32)*(1+$K$34)</f>
        <v>1188.5826243454144</v>
      </c>
      <c r="AK12" s="61">
        <f t="shared" ref="AK12:AK26" si="44">AK11*(1+$K$32)*(1+$K$34)</f>
        <v>171.83883577907608</v>
      </c>
      <c r="AL12" s="61">
        <f t="shared" ref="AL12:AL26" si="45">AL11*(1+$K$32)*(1+$K$34)</f>
        <v>815.37994620056918</v>
      </c>
      <c r="AM12" s="61">
        <f t="shared" ref="AM12:AM26" si="46">AM11*(1+$K$32)*(1+$K$34)</f>
        <v>485.81290597261199</v>
      </c>
      <c r="AN12" s="61">
        <f t="shared" ref="AN12:AN26" si="47">AN11*(1+$K$32)*(1+$K$34)</f>
        <v>1484.5557764188777</v>
      </c>
      <c r="AO12" s="61">
        <f t="shared" ref="AO12:AO26" si="48">AO11*(1+$K$32)*(1+$K$34)</f>
        <v>1561.1448973458935</v>
      </c>
      <c r="AP12" s="143">
        <f t="shared" si="16"/>
        <v>13363.639583956949</v>
      </c>
      <c r="AQ12" s="63">
        <f t="shared" si="17"/>
        <v>3302.1230395589555</v>
      </c>
      <c r="AR12" s="63">
        <f t="shared" si="18"/>
        <v>601.77311861738815</v>
      </c>
      <c r="AS12" s="63">
        <f t="shared" si="19"/>
        <v>457.30849398683466</v>
      </c>
      <c r="AT12" s="63">
        <f t="shared" si="20"/>
        <v>168.43105472794525</v>
      </c>
      <c r="AU12" s="63">
        <f t="shared" si="21"/>
        <v>143.28693979882885</v>
      </c>
      <c r="AV12" s="63">
        <f t="shared" si="22"/>
        <v>74.013425107636678</v>
      </c>
      <c r="AW12" s="63">
        <f t="shared" si="23"/>
        <v>3264.5813717528472</v>
      </c>
      <c r="AX12" s="63">
        <f t="shared" si="24"/>
        <v>1192.1718144721567</v>
      </c>
      <c r="AY12" s="63">
        <f t="shared" si="25"/>
        <v>465.55141281806112</v>
      </c>
      <c r="AZ12" s="63">
        <f t="shared" si="26"/>
        <v>769.38076245201978</v>
      </c>
      <c r="BA12" s="63">
        <f t="shared" si="27"/>
        <v>111.23290193088965</v>
      </c>
      <c r="BB12" s="63">
        <f t="shared" si="28"/>
        <v>527.80314287479518</v>
      </c>
      <c r="BC12" s="63">
        <f t="shared" si="29"/>
        <v>314.47128399011319</v>
      </c>
      <c r="BD12" s="63">
        <f t="shared" si="30"/>
        <v>960.96698013968239</v>
      </c>
      <c r="BE12" s="63">
        <f t="shared" si="31"/>
        <v>1010.5438417287602</v>
      </c>
      <c r="BF12" s="70">
        <f t="shared" si="33"/>
        <v>1856.0610533273539</v>
      </c>
      <c r="BG12" s="80">
        <f>$BF12*'Health - Emissions'!$G$44</f>
        <v>308.6945325289571</v>
      </c>
      <c r="BH12" s="80">
        <f>$BF12*'Health - Emissions'!$G$45</f>
        <v>1547.3665207983968</v>
      </c>
      <c r="BI12" s="142">
        <f>($BG12*'Health - Emissions'!$C$40)+($BH12*'Health - Emissions'!$C$41)</f>
        <v>1506.5742756835184</v>
      </c>
    </row>
    <row r="13" spans="2:61" x14ac:dyDescent="0.3">
      <c r="B13" s="77" t="s">
        <v>70</v>
      </c>
      <c r="C13" s="59">
        <v>52.32229601948557</v>
      </c>
      <c r="K13" s="165">
        <v>2032</v>
      </c>
      <c r="L13" s="60">
        <f t="shared" si="0"/>
        <v>4676.1042535081297</v>
      </c>
      <c r="M13" s="61">
        <f t="shared" si="1"/>
        <v>852.16504833492593</v>
      </c>
      <c r="N13" s="61">
        <f t="shared" si="2"/>
        <v>647.59010136183588</v>
      </c>
      <c r="O13" s="61">
        <f t="shared" si="3"/>
        <v>238.51357505485367</v>
      </c>
      <c r="P13" s="61">
        <f t="shared" si="4"/>
        <v>202.90723896071361</v>
      </c>
      <c r="Q13" s="61">
        <f t="shared" si="5"/>
        <v>104.80968995290728</v>
      </c>
      <c r="R13" s="61">
        <f t="shared" si="6"/>
        <v>4622.9418636126484</v>
      </c>
      <c r="S13" s="61">
        <f t="shared" si="7"/>
        <v>1688.222887451933</v>
      </c>
      <c r="T13" s="61">
        <f t="shared" si="8"/>
        <v>659.26281838245097</v>
      </c>
      <c r="U13" s="61">
        <f t="shared" si="9"/>
        <v>1089.5125992488022</v>
      </c>
      <c r="V13" s="61">
        <f t="shared" si="10"/>
        <v>157.51582833768654</v>
      </c>
      <c r="W13" s="61">
        <f t="shared" si="11"/>
        <v>747.41688660439479</v>
      </c>
      <c r="X13" s="61">
        <f t="shared" si="12"/>
        <v>445.31972039077567</v>
      </c>
      <c r="Y13" s="61">
        <f t="shared" si="13"/>
        <v>1360.8159748984426</v>
      </c>
      <c r="Z13" s="61">
        <f t="shared" si="14"/>
        <v>1431.0212854138385</v>
      </c>
      <c r="AA13" s="60">
        <f t="shared" si="34"/>
        <v>5301.9378794763497</v>
      </c>
      <c r="AB13" s="61">
        <f t="shared" si="35"/>
        <v>966.21587209975621</v>
      </c>
      <c r="AC13" s="61">
        <f t="shared" si="36"/>
        <v>734.26132152814216</v>
      </c>
      <c r="AD13" s="61">
        <f t="shared" si="37"/>
        <v>270.43540729527825</v>
      </c>
      <c r="AE13" s="61">
        <f t="shared" si="38"/>
        <v>230.06364228485151</v>
      </c>
      <c r="AF13" s="61">
        <f t="shared" si="39"/>
        <v>118.83705648363058</v>
      </c>
      <c r="AG13" s="61">
        <f t="shared" si="40"/>
        <v>5241.6604191227052</v>
      </c>
      <c r="AH13" s="61">
        <f t="shared" si="41"/>
        <v>1914.1688017894785</v>
      </c>
      <c r="AI13" s="61">
        <f t="shared" si="42"/>
        <v>747.49627463714887</v>
      </c>
      <c r="AJ13" s="61">
        <f t="shared" si="43"/>
        <v>1235.32919861448</v>
      </c>
      <c r="AK13" s="61">
        <f t="shared" si="44"/>
        <v>178.59720220183971</v>
      </c>
      <c r="AL13" s="61">
        <f t="shared" si="45"/>
        <v>847.44857856305487</v>
      </c>
      <c r="AM13" s="61">
        <f t="shared" si="46"/>
        <v>504.91977210438495</v>
      </c>
      <c r="AN13" s="61">
        <f t="shared" si="47"/>
        <v>1542.9428800475839</v>
      </c>
      <c r="AO13" s="61">
        <f t="shared" si="48"/>
        <v>1622.5442265921406</v>
      </c>
      <c r="AP13" s="143">
        <f t="shared" si="16"/>
        <v>18235.719081550709</v>
      </c>
      <c r="AQ13" s="63">
        <f t="shared" si="17"/>
        <v>4506.0021069711847</v>
      </c>
      <c r="AR13" s="63">
        <f t="shared" si="18"/>
        <v>821.16593110677809</v>
      </c>
      <c r="AS13" s="63">
        <f t="shared" si="19"/>
        <v>624.03278519740525</v>
      </c>
      <c r="AT13" s="63">
        <f t="shared" si="20"/>
        <v>229.83719213105698</v>
      </c>
      <c r="AU13" s="63">
        <f t="shared" si="21"/>
        <v>195.52610393379288</v>
      </c>
      <c r="AV13" s="63">
        <f t="shared" si="22"/>
        <v>100.99703902120775</v>
      </c>
      <c r="AW13" s="63">
        <f t="shared" si="23"/>
        <v>4454.7735996724095</v>
      </c>
      <c r="AX13" s="63">
        <f t="shared" si="24"/>
        <v>1626.8105832303272</v>
      </c>
      <c r="AY13" s="63">
        <f t="shared" si="25"/>
        <v>635.28088503382492</v>
      </c>
      <c r="AZ13" s="63">
        <f t="shared" si="26"/>
        <v>1049.8795154328802</v>
      </c>
      <c r="BA13" s="63">
        <f t="shared" si="27"/>
        <v>151.78589182190279</v>
      </c>
      <c r="BB13" s="63">
        <f t="shared" si="28"/>
        <v>720.22818210235255</v>
      </c>
      <c r="BC13" s="63">
        <f t="shared" si="29"/>
        <v>429.12037233798679</v>
      </c>
      <c r="BD13" s="63">
        <f t="shared" si="30"/>
        <v>1311.3137170738173</v>
      </c>
      <c r="BE13" s="63">
        <f t="shared" si="31"/>
        <v>1378.9651764837749</v>
      </c>
      <c r="BF13" s="70">
        <f t="shared" si="33"/>
        <v>2532.7387613264873</v>
      </c>
      <c r="BG13" s="80">
        <f>$BF13*'Health - Emissions'!$G$44</f>
        <v>421.23754848691181</v>
      </c>
      <c r="BH13" s="80">
        <f>$BF13*'Health - Emissions'!$G$45</f>
        <v>2111.5012128395756</v>
      </c>
      <c r="BI13" s="142">
        <f>($BG13*'Health - Emissions'!$C$40)+($BH13*'Health - Emissions'!$C$41)</f>
        <v>2055.837041567424</v>
      </c>
    </row>
    <row r="14" spans="2:61" x14ac:dyDescent="0.3">
      <c r="B14" s="77" t="s">
        <v>71</v>
      </c>
      <c r="C14" s="59">
        <v>130.59890949473811</v>
      </c>
      <c r="K14" s="165">
        <v>2033</v>
      </c>
      <c r="L14" s="60">
        <f t="shared" si="0"/>
        <v>4709.7722041333882</v>
      </c>
      <c r="M14" s="61">
        <f t="shared" si="1"/>
        <v>858.30063668293747</v>
      </c>
      <c r="N14" s="61">
        <f t="shared" si="2"/>
        <v>652.25275009164113</v>
      </c>
      <c r="O14" s="61">
        <f t="shared" si="3"/>
        <v>240.23087279524864</v>
      </c>
      <c r="P14" s="61">
        <f t="shared" si="4"/>
        <v>204.36817108123077</v>
      </c>
      <c r="Q14" s="61">
        <f t="shared" si="5"/>
        <v>105.56431972056822</v>
      </c>
      <c r="R14" s="61">
        <f t="shared" si="6"/>
        <v>4656.2270450306596</v>
      </c>
      <c r="S14" s="61">
        <f t="shared" si="7"/>
        <v>1700.3780922415872</v>
      </c>
      <c r="T14" s="61">
        <f t="shared" si="8"/>
        <v>664.00951067480469</v>
      </c>
      <c r="U14" s="61">
        <f t="shared" si="9"/>
        <v>1097.3570899633937</v>
      </c>
      <c r="V14" s="61">
        <f t="shared" si="10"/>
        <v>158.64994230171791</v>
      </c>
      <c r="W14" s="61">
        <f t="shared" si="11"/>
        <v>752.79828818794647</v>
      </c>
      <c r="X14" s="61">
        <f t="shared" si="12"/>
        <v>448.5260223775893</v>
      </c>
      <c r="Y14" s="61">
        <f t="shared" si="13"/>
        <v>1370.6138499177116</v>
      </c>
      <c r="Z14" s="61">
        <f t="shared" si="14"/>
        <v>1441.3246386688184</v>
      </c>
      <c r="AA14" s="60">
        <f t="shared" si="34"/>
        <v>5510.4613996560347</v>
      </c>
      <c r="AB14" s="61">
        <f t="shared" si="35"/>
        <v>1004.2168331603606</v>
      </c>
      <c r="AC14" s="61">
        <f t="shared" si="36"/>
        <v>763.13958434022118</v>
      </c>
      <c r="AD14" s="61">
        <f t="shared" si="37"/>
        <v>281.07154532487124</v>
      </c>
      <c r="AE14" s="61">
        <f t="shared" si="38"/>
        <v>239.1119717155492</v>
      </c>
      <c r="AF14" s="61">
        <f t="shared" si="39"/>
        <v>123.51087988727372</v>
      </c>
      <c r="AG14" s="61">
        <f t="shared" si="40"/>
        <v>5447.8132460754678</v>
      </c>
      <c r="AH14" s="61">
        <f t="shared" si="41"/>
        <v>1989.4524482298423</v>
      </c>
      <c r="AI14" s="61">
        <f t="shared" si="42"/>
        <v>776.89506391982013</v>
      </c>
      <c r="AJ14" s="61">
        <f t="shared" si="43"/>
        <v>1283.914300690644</v>
      </c>
      <c r="AK14" s="61">
        <f t="shared" si="44"/>
        <v>185.6213730133334</v>
      </c>
      <c r="AL14" s="61">
        <f t="shared" si="45"/>
        <v>880.77845997439476</v>
      </c>
      <c r="AM14" s="61">
        <f t="shared" si="46"/>
        <v>524.77810516692341</v>
      </c>
      <c r="AN14" s="61">
        <f t="shared" si="47"/>
        <v>1603.626329778134</v>
      </c>
      <c r="AO14" s="61">
        <f t="shared" si="48"/>
        <v>1686.3583718098571</v>
      </c>
      <c r="AP14" s="143">
        <f t="shared" si="16"/>
        <v>23330.71064788906</v>
      </c>
      <c r="AQ14" s="63">
        <f t="shared" si="17"/>
        <v>5764.9622077630547</v>
      </c>
      <c r="AR14" s="63">
        <f t="shared" si="18"/>
        <v>1050.5966146374465</v>
      </c>
      <c r="AS14" s="63">
        <f t="shared" si="19"/>
        <v>798.38520658977632</v>
      </c>
      <c r="AT14" s="63">
        <f t="shared" si="20"/>
        <v>294.0528422132827</v>
      </c>
      <c r="AU14" s="63">
        <f t="shared" si="21"/>
        <v>250.15536456709273</v>
      </c>
      <c r="AV14" s="63">
        <f t="shared" si="22"/>
        <v>129.21523320027958</v>
      </c>
      <c r="AW14" s="63">
        <f t="shared" si="23"/>
        <v>5699.4206475226192</v>
      </c>
      <c r="AX14" s="63">
        <f t="shared" si="24"/>
        <v>2081.3353631154368</v>
      </c>
      <c r="AY14" s="63">
        <f t="shared" si="25"/>
        <v>812.7759833641112</v>
      </c>
      <c r="AZ14" s="63">
        <f t="shared" si="26"/>
        <v>1343.2119172362025</v>
      </c>
      <c r="BA14" s="63">
        <f t="shared" si="27"/>
        <v>194.19430112363148</v>
      </c>
      <c r="BB14" s="63">
        <f t="shared" si="28"/>
        <v>921.45723686242775</v>
      </c>
      <c r="BC14" s="63">
        <f t="shared" si="29"/>
        <v>549.01499608320557</v>
      </c>
      <c r="BD14" s="63">
        <f t="shared" si="30"/>
        <v>1677.6898549950417</v>
      </c>
      <c r="BE14" s="63">
        <f t="shared" si="31"/>
        <v>1764.242878615479</v>
      </c>
      <c r="BF14" s="70">
        <f t="shared" si="33"/>
        <v>3240.3764788734807</v>
      </c>
      <c r="BG14" s="80">
        <f>$BF14*'Health - Emissions'!$G$44</f>
        <v>538.92974079191367</v>
      </c>
      <c r="BH14" s="80">
        <f>$BF14*'Health - Emissions'!$G$45</f>
        <v>2701.4467380815672</v>
      </c>
      <c r="BI14" s="142">
        <f>($BG14*'Health - Emissions'!$C$40)+($BH14*'Health - Emissions'!$C$41)</f>
        <v>2630.2302059778785</v>
      </c>
    </row>
    <row r="15" spans="2:61" x14ac:dyDescent="0.3">
      <c r="B15" s="77" t="s">
        <v>72</v>
      </c>
      <c r="C15" s="59">
        <v>208.01517783288062</v>
      </c>
      <c r="K15" s="165">
        <v>2034</v>
      </c>
      <c r="L15" s="60">
        <f t="shared" si="0"/>
        <v>4743.6825640031493</v>
      </c>
      <c r="M15" s="61">
        <f t="shared" si="1"/>
        <v>864.48040126705473</v>
      </c>
      <c r="N15" s="61">
        <f t="shared" si="2"/>
        <v>656.94896989230097</v>
      </c>
      <c r="O15" s="61">
        <f t="shared" si="3"/>
        <v>241.96053507937447</v>
      </c>
      <c r="P15" s="61">
        <f t="shared" si="4"/>
        <v>205.83962191301566</v>
      </c>
      <c r="Q15" s="61">
        <f t="shared" si="5"/>
        <v>106.32438282255632</v>
      </c>
      <c r="R15" s="61">
        <f t="shared" si="6"/>
        <v>4689.751879754881</v>
      </c>
      <c r="S15" s="61">
        <f t="shared" si="7"/>
        <v>1712.6208145057267</v>
      </c>
      <c r="T15" s="61">
        <f t="shared" si="8"/>
        <v>668.79037915166339</v>
      </c>
      <c r="U15" s="61">
        <f t="shared" si="9"/>
        <v>1105.2580610111302</v>
      </c>
      <c r="V15" s="61">
        <f t="shared" si="10"/>
        <v>159.79222188629029</v>
      </c>
      <c r="W15" s="61">
        <f t="shared" si="11"/>
        <v>758.21843586289981</v>
      </c>
      <c r="X15" s="61">
        <f t="shared" si="12"/>
        <v>451.75540973870801</v>
      </c>
      <c r="Y15" s="61">
        <f t="shared" si="13"/>
        <v>1380.4822696371193</v>
      </c>
      <c r="Z15" s="61">
        <f t="shared" si="14"/>
        <v>1451.7021760672339</v>
      </c>
      <c r="AA15" s="60">
        <f t="shared" si="34"/>
        <v>5727.1860831568592</v>
      </c>
      <c r="AB15" s="61">
        <f t="shared" si="35"/>
        <v>1043.7123598591711</v>
      </c>
      <c r="AC15" s="61">
        <f t="shared" si="36"/>
        <v>793.15361998765525</v>
      </c>
      <c r="AD15" s="61">
        <f t="shared" si="37"/>
        <v>292.12599925960393</v>
      </c>
      <c r="AE15" s="61">
        <f t="shared" si="38"/>
        <v>248.51616904729084</v>
      </c>
      <c r="AF15" s="61">
        <f t="shared" si="39"/>
        <v>128.36852326975864</v>
      </c>
      <c r="AG15" s="61">
        <f t="shared" si="40"/>
        <v>5662.0739977433786</v>
      </c>
      <c r="AH15" s="61">
        <f t="shared" si="41"/>
        <v>2067.6969763939387</v>
      </c>
      <c r="AI15" s="61">
        <f t="shared" si="42"/>
        <v>807.45009817736627</v>
      </c>
      <c r="AJ15" s="61">
        <f t="shared" si="43"/>
        <v>1334.410239284231</v>
      </c>
      <c r="AK15" s="61">
        <f t="shared" si="44"/>
        <v>192.92180221510847</v>
      </c>
      <c r="AL15" s="61">
        <f t="shared" si="45"/>
        <v>915.41919495608056</v>
      </c>
      <c r="AM15" s="61">
        <f t="shared" si="46"/>
        <v>545.41746011414489</v>
      </c>
      <c r="AN15" s="61">
        <f t="shared" si="47"/>
        <v>1666.6964401678827</v>
      </c>
      <c r="AO15" s="61">
        <f t="shared" si="48"/>
        <v>1752.68230693846</v>
      </c>
      <c r="AP15" s="143">
        <f t="shared" si="16"/>
        <v>28657.606665440384</v>
      </c>
      <c r="AQ15" s="63">
        <f t="shared" si="17"/>
        <v>7081.2253379067115</v>
      </c>
      <c r="AR15" s="63">
        <f t="shared" si="18"/>
        <v>1290.4701018632379</v>
      </c>
      <c r="AS15" s="63">
        <f t="shared" si="19"/>
        <v>980.67348068655087</v>
      </c>
      <c r="AT15" s="63">
        <f t="shared" si="20"/>
        <v>361.19134209765213</v>
      </c>
      <c r="AU15" s="63">
        <f t="shared" si="21"/>
        <v>307.27113936678131</v>
      </c>
      <c r="AV15" s="63">
        <f t="shared" si="22"/>
        <v>158.71781121985674</v>
      </c>
      <c r="AW15" s="63">
        <f t="shared" si="23"/>
        <v>7000.719249517183</v>
      </c>
      <c r="AX15" s="63">
        <f t="shared" si="24"/>
        <v>2556.5483655951266</v>
      </c>
      <c r="AY15" s="63">
        <f t="shared" si="25"/>
        <v>998.34997698506083</v>
      </c>
      <c r="AZ15" s="63">
        <f t="shared" si="26"/>
        <v>1649.8956835663262</v>
      </c>
      <c r="BA15" s="63">
        <f t="shared" si="27"/>
        <v>238.5329783674909</v>
      </c>
      <c r="BB15" s="63">
        <f t="shared" si="28"/>
        <v>1131.8454654709014</v>
      </c>
      <c r="BC15" s="63">
        <f t="shared" si="29"/>
        <v>674.36676270314558</v>
      </c>
      <c r="BD15" s="63">
        <f t="shared" si="30"/>
        <v>2060.7420278214963</v>
      </c>
      <c r="BE15" s="63">
        <f t="shared" si="31"/>
        <v>2167.0569422728277</v>
      </c>
      <c r="BF15" s="70">
        <f t="shared" si="33"/>
        <v>3980.2231479778311</v>
      </c>
      <c r="BG15" s="80">
        <f>$BF15*'Health - Emissions'!$G$44</f>
        <v>661.97882974986874</v>
      </c>
      <c r="BH15" s="80">
        <f>$BF15*'Health - Emissions'!$G$45</f>
        <v>3318.2443182279621</v>
      </c>
      <c r="BI15" s="142">
        <f>($BG15*'Health - Emissions'!$C$40)+($BH15*'Health - Emissions'!$C$41)</f>
        <v>3230.767541549114</v>
      </c>
    </row>
    <row r="16" spans="2:61" x14ac:dyDescent="0.3">
      <c r="B16" s="77" t="s">
        <v>73</v>
      </c>
      <c r="C16" s="59">
        <v>270.9521670962028</v>
      </c>
      <c r="K16" s="165">
        <v>2035</v>
      </c>
      <c r="L16" s="60">
        <f t="shared" si="0"/>
        <v>4777.8370784639728</v>
      </c>
      <c r="M16" s="61">
        <f t="shared" si="1"/>
        <v>870.70466015617762</v>
      </c>
      <c r="N16" s="61">
        <f t="shared" si="2"/>
        <v>661.67900247552564</v>
      </c>
      <c r="O16" s="61">
        <f t="shared" si="3"/>
        <v>243.70265093194598</v>
      </c>
      <c r="P16" s="61">
        <f t="shared" si="4"/>
        <v>207.32166719078938</v>
      </c>
      <c r="Q16" s="61">
        <f t="shared" si="5"/>
        <v>107.08991837887874</v>
      </c>
      <c r="R16" s="61">
        <f t="shared" si="6"/>
        <v>4723.5180932891162</v>
      </c>
      <c r="S16" s="61">
        <f t="shared" si="7"/>
        <v>1724.9516843701681</v>
      </c>
      <c r="T16" s="61">
        <f t="shared" si="8"/>
        <v>673.6056698815554</v>
      </c>
      <c r="U16" s="61">
        <f t="shared" si="9"/>
        <v>1113.2159190504103</v>
      </c>
      <c r="V16" s="61">
        <f t="shared" si="10"/>
        <v>160.94272588387159</v>
      </c>
      <c r="W16" s="61">
        <f t="shared" si="11"/>
        <v>763.67760860111275</v>
      </c>
      <c r="X16" s="61">
        <f t="shared" si="12"/>
        <v>455.00804868882676</v>
      </c>
      <c r="Y16" s="61">
        <f t="shared" si="13"/>
        <v>1390.4217419785068</v>
      </c>
      <c r="Z16" s="61">
        <f t="shared" si="14"/>
        <v>1462.1544317349183</v>
      </c>
      <c r="AA16" s="60">
        <f t="shared" si="34"/>
        <v>5952.4344791078729</v>
      </c>
      <c r="AB16" s="61">
        <f t="shared" si="35"/>
        <v>1084.7612329844774</v>
      </c>
      <c r="AC16" s="61">
        <f t="shared" si="36"/>
        <v>824.34809805261148</v>
      </c>
      <c r="AD16" s="61">
        <f t="shared" si="37"/>
        <v>303.61522133016445</v>
      </c>
      <c r="AE16" s="61">
        <f t="shared" si="38"/>
        <v>258.29023045074672</v>
      </c>
      <c r="AF16" s="61">
        <f t="shared" si="39"/>
        <v>133.41721621203081</v>
      </c>
      <c r="AG16" s="61">
        <f t="shared" si="40"/>
        <v>5884.7615562109477</v>
      </c>
      <c r="AH16" s="61">
        <f t="shared" si="41"/>
        <v>2149.01883681248</v>
      </c>
      <c r="AI16" s="61">
        <f t="shared" si="42"/>
        <v>839.20685215465073</v>
      </c>
      <c r="AJ16" s="61">
        <f t="shared" si="43"/>
        <v>1386.8921669840036</v>
      </c>
      <c r="AK16" s="61">
        <f t="shared" si="44"/>
        <v>200.50935496125203</v>
      </c>
      <c r="AL16" s="61">
        <f t="shared" si="45"/>
        <v>951.42233895956099</v>
      </c>
      <c r="AM16" s="61">
        <f t="shared" si="46"/>
        <v>566.86855428684714</v>
      </c>
      <c r="AN16" s="61">
        <f t="shared" si="47"/>
        <v>1732.2470778168247</v>
      </c>
      <c r="AO16" s="61">
        <f t="shared" si="48"/>
        <v>1821.6147412120115</v>
      </c>
      <c r="AP16" s="143">
        <f t="shared" si="16"/>
        <v>34225.754806517099</v>
      </c>
      <c r="AQ16" s="63">
        <f t="shared" si="17"/>
        <v>8457.1012846360809</v>
      </c>
      <c r="AR16" s="63">
        <f t="shared" si="18"/>
        <v>1541.2073243637583</v>
      </c>
      <c r="AS16" s="63">
        <f t="shared" si="19"/>
        <v>1171.2174881550181</v>
      </c>
      <c r="AT16" s="63">
        <f t="shared" si="20"/>
        <v>431.37050686717294</v>
      </c>
      <c r="AU16" s="63">
        <f t="shared" si="21"/>
        <v>366.97365547169284</v>
      </c>
      <c r="AV16" s="63">
        <f t="shared" si="22"/>
        <v>189.55654439869494</v>
      </c>
      <c r="AW16" s="63">
        <f t="shared" si="23"/>
        <v>8360.9529330371861</v>
      </c>
      <c r="AX16" s="63">
        <f t="shared" si="24"/>
        <v>3053.2834975846458</v>
      </c>
      <c r="AY16" s="63">
        <f t="shared" si="25"/>
        <v>1192.3285123662865</v>
      </c>
      <c r="AZ16" s="63">
        <f t="shared" si="26"/>
        <v>1970.4689851218714</v>
      </c>
      <c r="BA16" s="63">
        <f t="shared" si="27"/>
        <v>284.87972935713918</v>
      </c>
      <c r="BB16" s="63">
        <f t="shared" si="28"/>
        <v>1351.7620585808274</v>
      </c>
      <c r="BC16" s="63">
        <f t="shared" si="29"/>
        <v>805.39564030574672</v>
      </c>
      <c r="BD16" s="63">
        <f t="shared" si="30"/>
        <v>2461.1424180358886</v>
      </c>
      <c r="BE16" s="63">
        <f t="shared" si="31"/>
        <v>2588.1142282350716</v>
      </c>
      <c r="BF16" s="70">
        <f t="shared" si="33"/>
        <v>4753.5770564607083</v>
      </c>
      <c r="BG16" s="80">
        <f>$BF16*'Health - Emissions'!$G$44</f>
        <v>790.60074271474298</v>
      </c>
      <c r="BH16" s="80">
        <f>$BF16*'Health - Emissions'!$G$45</f>
        <v>3962.9763137459654</v>
      </c>
      <c r="BI16" s="142">
        <f>($BG16*'Health - Emissions'!$C$40)+($BH16*'Health - Emissions'!$C$41)</f>
        <v>3858.502875163766</v>
      </c>
    </row>
    <row r="17" spans="2:61" x14ac:dyDescent="0.3">
      <c r="B17" s="77" t="s">
        <v>74</v>
      </c>
      <c r="C17" s="59">
        <v>167.43841770084259</v>
      </c>
      <c r="K17" s="165">
        <v>2036</v>
      </c>
      <c r="L17" s="60">
        <f t="shared" si="0"/>
        <v>4812.2375054289141</v>
      </c>
      <c r="M17" s="61">
        <f t="shared" si="1"/>
        <v>876.97373370930222</v>
      </c>
      <c r="N17" s="61">
        <f t="shared" si="2"/>
        <v>666.44309129334954</v>
      </c>
      <c r="O17" s="61">
        <f t="shared" si="3"/>
        <v>245.45731001865602</v>
      </c>
      <c r="P17" s="61">
        <f t="shared" si="4"/>
        <v>208.81438319456308</v>
      </c>
      <c r="Q17" s="61">
        <f t="shared" si="5"/>
        <v>107.86096579120667</v>
      </c>
      <c r="R17" s="61">
        <f t="shared" si="6"/>
        <v>4757.5274235607985</v>
      </c>
      <c r="S17" s="61">
        <f t="shared" si="7"/>
        <v>1737.3713364976334</v>
      </c>
      <c r="T17" s="61">
        <f t="shared" si="8"/>
        <v>678.45563070470268</v>
      </c>
      <c r="U17" s="61">
        <f t="shared" si="9"/>
        <v>1121.2310736675734</v>
      </c>
      <c r="V17" s="61">
        <f t="shared" si="10"/>
        <v>162.10151351023549</v>
      </c>
      <c r="W17" s="61">
        <f t="shared" si="11"/>
        <v>769.17608738304079</v>
      </c>
      <c r="X17" s="61">
        <f t="shared" si="12"/>
        <v>458.28410663938638</v>
      </c>
      <c r="Y17" s="61">
        <f t="shared" si="13"/>
        <v>1400.4327785207522</v>
      </c>
      <c r="Z17" s="61">
        <f t="shared" si="14"/>
        <v>1472.6819436434098</v>
      </c>
      <c r="AA17" s="60">
        <f t="shared" si="34"/>
        <v>6186.5418223921533</v>
      </c>
      <c r="AB17" s="61">
        <f t="shared" si="35"/>
        <v>1127.4245451541624</v>
      </c>
      <c r="AC17" s="61">
        <f t="shared" si="36"/>
        <v>856.76944495762939</v>
      </c>
      <c r="AD17" s="61">
        <f t="shared" si="37"/>
        <v>315.55631082820901</v>
      </c>
      <c r="AE17" s="61">
        <f t="shared" si="38"/>
        <v>268.44870256150091</v>
      </c>
      <c r="AF17" s="61">
        <f t="shared" si="39"/>
        <v>138.66447263214081</v>
      </c>
      <c r="AG17" s="61">
        <f t="shared" si="40"/>
        <v>6116.2073450930266</v>
      </c>
      <c r="AH17" s="61">
        <f t="shared" si="41"/>
        <v>2233.5390599782872</v>
      </c>
      <c r="AI17" s="61">
        <f t="shared" si="42"/>
        <v>872.21258910370057</v>
      </c>
      <c r="AJ17" s="61">
        <f t="shared" si="43"/>
        <v>1441.4381921059912</v>
      </c>
      <c r="AK17" s="61">
        <f t="shared" si="44"/>
        <v>208.39532372888451</v>
      </c>
      <c r="AL17" s="61">
        <f t="shared" si="45"/>
        <v>988.8414750956922</v>
      </c>
      <c r="AM17" s="61">
        <f t="shared" si="46"/>
        <v>589.16331312901161</v>
      </c>
      <c r="AN17" s="61">
        <f t="shared" si="47"/>
        <v>1800.3758010682957</v>
      </c>
      <c r="AO17" s="61">
        <f t="shared" si="48"/>
        <v>1893.258266067163</v>
      </c>
      <c r="AP17" s="143">
        <f t="shared" si="16"/>
        <v>40044.872018392714</v>
      </c>
      <c r="AQ17" s="63">
        <f t="shared" si="17"/>
        <v>9894.9910821353224</v>
      </c>
      <c r="AR17" s="63">
        <f t="shared" si="18"/>
        <v>1803.2458424029933</v>
      </c>
      <c r="AS17" s="63">
        <f t="shared" si="19"/>
        <v>1370.3497463828151</v>
      </c>
      <c r="AT17" s="63">
        <f t="shared" si="20"/>
        <v>504.71280582878154</v>
      </c>
      <c r="AU17" s="63">
        <f t="shared" si="21"/>
        <v>429.3670994419524</v>
      </c>
      <c r="AV17" s="63">
        <f t="shared" si="22"/>
        <v>221.78524925472587</v>
      </c>
      <c r="AW17" s="63">
        <f t="shared" si="23"/>
        <v>9782.4954350320422</v>
      </c>
      <c r="AX17" s="63">
        <f t="shared" si="24"/>
        <v>3572.4076090607082</v>
      </c>
      <c r="AY17" s="63">
        <f t="shared" si="25"/>
        <v>1395.0501004727848</v>
      </c>
      <c r="AZ17" s="63">
        <f t="shared" si="26"/>
        <v>2305.4912527566089</v>
      </c>
      <c r="BA17" s="63">
        <f t="shared" si="27"/>
        <v>333.3154335742729</v>
      </c>
      <c r="BB17" s="63">
        <f t="shared" si="28"/>
        <v>1581.5907915310902</v>
      </c>
      <c r="BC17" s="63">
        <f t="shared" si="29"/>
        <v>942.33028672530168</v>
      </c>
      <c r="BD17" s="63">
        <f t="shared" si="30"/>
        <v>2879.589762342313</v>
      </c>
      <c r="BE17" s="63">
        <f t="shared" si="31"/>
        <v>3028.1495214510237</v>
      </c>
      <c r="BF17" s="70">
        <f t="shared" si="33"/>
        <v>5561.7877803323208</v>
      </c>
      <c r="BG17" s="80">
        <f>$BF17*'Health - Emissions'!$G$44</f>
        <v>925.01993713896582</v>
      </c>
      <c r="BH17" s="80">
        <f>$BF17*'Health - Emissions'!$G$45</f>
        <v>4636.7678431933546</v>
      </c>
      <c r="BI17" s="142">
        <f>($BG17*'Health - Emissions'!$C$40)+($BH17*'Health - Emissions'!$C$41)</f>
        <v>4514.5316645905395</v>
      </c>
    </row>
    <row r="18" spans="2:61" x14ac:dyDescent="0.3">
      <c r="B18" s="77" t="s">
        <v>75</v>
      </c>
      <c r="C18" s="59">
        <v>102.8469865762673</v>
      </c>
      <c r="K18" s="165">
        <v>2037</v>
      </c>
      <c r="L18" s="60">
        <f t="shared" si="0"/>
        <v>4846.8856154680025</v>
      </c>
      <c r="M18" s="61">
        <f t="shared" si="1"/>
        <v>883.28794459200924</v>
      </c>
      <c r="N18" s="61">
        <f t="shared" si="2"/>
        <v>671.24148155066177</v>
      </c>
      <c r="O18" s="61">
        <f t="shared" si="3"/>
        <v>247.22460265079036</v>
      </c>
      <c r="P18" s="61">
        <f t="shared" si="4"/>
        <v>210.31784675356394</v>
      </c>
      <c r="Q18" s="61">
        <f t="shared" si="5"/>
        <v>108.63756474490336</v>
      </c>
      <c r="R18" s="61">
        <f t="shared" si="6"/>
        <v>4791.7816210104365</v>
      </c>
      <c r="S18" s="61">
        <f t="shared" si="7"/>
        <v>1749.8804101204164</v>
      </c>
      <c r="T18" s="61">
        <f t="shared" si="8"/>
        <v>683.34051124577661</v>
      </c>
      <c r="U18" s="61">
        <f t="shared" si="9"/>
        <v>1129.30393739798</v>
      </c>
      <c r="V18" s="61">
        <f t="shared" si="10"/>
        <v>163.26864440750921</v>
      </c>
      <c r="W18" s="61">
        <f t="shared" si="11"/>
        <v>774.71415521219876</v>
      </c>
      <c r="X18" s="61">
        <f t="shared" si="12"/>
        <v>461.58375220719</v>
      </c>
      <c r="Y18" s="61">
        <f t="shared" si="13"/>
        <v>1410.5158945261016</v>
      </c>
      <c r="Z18" s="61">
        <f t="shared" si="14"/>
        <v>1483.2852536376424</v>
      </c>
      <c r="AA18" s="60">
        <f t="shared" si="34"/>
        <v>6429.8565325734544</v>
      </c>
      <c r="AB18" s="61">
        <f t="shared" si="35"/>
        <v>1171.7657917392212</v>
      </c>
      <c r="AC18" s="61">
        <f t="shared" si="36"/>
        <v>890.46591306159064</v>
      </c>
      <c r="AD18" s="61">
        <f t="shared" si="37"/>
        <v>327.96703955506302</v>
      </c>
      <c r="AE18" s="61">
        <f t="shared" si="38"/>
        <v>279.00670412965991</v>
      </c>
      <c r="AF18" s="61">
        <f t="shared" si="39"/>
        <v>144.1181019681317</v>
      </c>
      <c r="AG18" s="61">
        <f t="shared" si="40"/>
        <v>6356.7558227891859</v>
      </c>
      <c r="AH18" s="61">
        <f t="shared" si="41"/>
        <v>2321.3834364747345</v>
      </c>
      <c r="AI18" s="61">
        <f t="shared" si="42"/>
        <v>906.51643112512068</v>
      </c>
      <c r="AJ18" s="61">
        <f t="shared" si="43"/>
        <v>1498.1294949412986</v>
      </c>
      <c r="AK18" s="61">
        <f t="shared" si="44"/>
        <v>216.59144512463797</v>
      </c>
      <c r="AL18" s="61">
        <f t="shared" si="45"/>
        <v>1027.7322938819339</v>
      </c>
      <c r="AM18" s="61">
        <f t="shared" si="46"/>
        <v>612.33491770211549</v>
      </c>
      <c r="AN18" s="61">
        <f t="shared" si="47"/>
        <v>1871.1840052040557</v>
      </c>
      <c r="AO18" s="61">
        <f t="shared" si="48"/>
        <v>1967.7195078289396</v>
      </c>
      <c r="AP18" s="143">
        <f t="shared" si="16"/>
        <v>46125.059058532548</v>
      </c>
      <c r="AQ18" s="63">
        <f t="shared" si="17"/>
        <v>11397.390603159254</v>
      </c>
      <c r="AR18" s="63">
        <f t="shared" si="18"/>
        <v>2077.0404994599262</v>
      </c>
      <c r="AS18" s="63">
        <f t="shared" si="19"/>
        <v>1578.4159068786878</v>
      </c>
      <c r="AT18" s="63">
        <f t="shared" si="20"/>
        <v>581.34554571076319</v>
      </c>
      <c r="AU18" s="63">
        <f t="shared" si="21"/>
        <v>494.55977310789098</v>
      </c>
      <c r="AV18" s="63">
        <f t="shared" si="22"/>
        <v>255.45986800724404</v>
      </c>
      <c r="AW18" s="63">
        <f t="shared" si="23"/>
        <v>11267.814252806997</v>
      </c>
      <c r="AX18" s="63">
        <f t="shared" si="24"/>
        <v>4114.8217897510904</v>
      </c>
      <c r="AY18" s="63">
        <f t="shared" si="25"/>
        <v>1606.8666231312773</v>
      </c>
      <c r="AZ18" s="63">
        <f t="shared" si="26"/>
        <v>2655.544014311894</v>
      </c>
      <c r="BA18" s="63">
        <f t="shared" si="27"/>
        <v>383.92416516332707</v>
      </c>
      <c r="BB18" s="63">
        <f t="shared" si="28"/>
        <v>1821.7305984220927</v>
      </c>
      <c r="BC18" s="63">
        <f t="shared" si="29"/>
        <v>1085.4083915634635</v>
      </c>
      <c r="BD18" s="63">
        <f t="shared" si="30"/>
        <v>3316.8103968812688</v>
      </c>
      <c r="BE18" s="63">
        <f t="shared" si="31"/>
        <v>3487.92663017734</v>
      </c>
      <c r="BF18" s="70">
        <f t="shared" si="33"/>
        <v>6406.2582025739648</v>
      </c>
      <c r="BG18" s="80">
        <f>$BF18*'Health - Emissions'!$G$44</f>
        <v>1065.4697363312332</v>
      </c>
      <c r="BH18" s="80">
        <f>$BF18*'Health - Emissions'!$G$45</f>
        <v>5340.7884662427314</v>
      </c>
      <c r="BI18" s="142">
        <f>($BG18*'Health - Emissions'!$C$40)+($BH18*'Health - Emissions'!$C$41)</f>
        <v>5199.9926371399542</v>
      </c>
    </row>
    <row r="19" spans="2:61" x14ac:dyDescent="0.3">
      <c r="B19" s="77" t="s">
        <v>76</v>
      </c>
      <c r="C19" s="59">
        <v>22.217157695530069</v>
      </c>
      <c r="K19" s="165">
        <v>2038</v>
      </c>
      <c r="L19" s="60">
        <f t="shared" si="0"/>
        <v>4881.7831918993725</v>
      </c>
      <c r="M19" s="61">
        <f t="shared" si="1"/>
        <v>889.64761779307184</v>
      </c>
      <c r="N19" s="61">
        <f t="shared" si="2"/>
        <v>676.07442021782663</v>
      </c>
      <c r="O19" s="61">
        <f t="shared" si="3"/>
        <v>249.00461978987607</v>
      </c>
      <c r="P19" s="61">
        <f t="shared" si="4"/>
        <v>211.83213525018962</v>
      </c>
      <c r="Q19" s="61">
        <f t="shared" si="5"/>
        <v>109.41975521106667</v>
      </c>
      <c r="R19" s="61">
        <f t="shared" si="6"/>
        <v>4826.2824486817117</v>
      </c>
      <c r="S19" s="61">
        <f t="shared" si="7"/>
        <v>1762.4795490732836</v>
      </c>
      <c r="T19" s="61">
        <f t="shared" si="8"/>
        <v>688.26056292674627</v>
      </c>
      <c r="U19" s="61">
        <f t="shared" si="9"/>
        <v>1137.4349257472456</v>
      </c>
      <c r="V19" s="61">
        <f t="shared" si="10"/>
        <v>164.44417864724329</v>
      </c>
      <c r="W19" s="61">
        <f t="shared" si="11"/>
        <v>780.2920971297267</v>
      </c>
      <c r="X19" s="61">
        <f t="shared" si="12"/>
        <v>464.90715522308182</v>
      </c>
      <c r="Y19" s="61">
        <f t="shared" si="13"/>
        <v>1420.6716089666897</v>
      </c>
      <c r="Z19" s="61">
        <f t="shared" si="14"/>
        <v>1493.9649074638337</v>
      </c>
      <c r="AA19" s="60">
        <f t="shared" si="34"/>
        <v>6682.7407324454789</v>
      </c>
      <c r="AB19" s="61">
        <f t="shared" si="35"/>
        <v>1217.8509653632716</v>
      </c>
      <c r="AC19" s="61">
        <f t="shared" si="36"/>
        <v>925.48765247321103</v>
      </c>
      <c r="AD19" s="61">
        <f t="shared" si="37"/>
        <v>340.86587827131103</v>
      </c>
      <c r="AE19" s="61">
        <f t="shared" si="38"/>
        <v>289.97994852093416</v>
      </c>
      <c r="AF19" s="61">
        <f t="shared" si="39"/>
        <v>149.7862208007457</v>
      </c>
      <c r="AG19" s="61">
        <f t="shared" si="40"/>
        <v>6606.7649951376225</v>
      </c>
      <c r="AH19" s="61">
        <f t="shared" si="41"/>
        <v>2412.6827041885863</v>
      </c>
      <c r="AI19" s="61">
        <f t="shared" si="42"/>
        <v>942.16943227601382</v>
      </c>
      <c r="AJ19" s="61">
        <f t="shared" si="43"/>
        <v>1557.0504485759016</v>
      </c>
      <c r="AK19" s="61">
        <f t="shared" si="44"/>
        <v>225.10991735212758</v>
      </c>
      <c r="AL19" s="61">
        <f t="shared" si="45"/>
        <v>1068.1526761259763</v>
      </c>
      <c r="AM19" s="61">
        <f t="shared" si="46"/>
        <v>636.41785406816621</v>
      </c>
      <c r="AN19" s="61">
        <f t="shared" si="47"/>
        <v>1944.7770733498496</v>
      </c>
      <c r="AO19" s="61">
        <f t="shared" si="48"/>
        <v>2045.1092864016096</v>
      </c>
      <c r="AP19" s="143">
        <f t="shared" si="16"/>
        <v>52476.815601574905</v>
      </c>
      <c r="AQ19" s="63">
        <f t="shared" si="17"/>
        <v>12966.894291931967</v>
      </c>
      <c r="AR19" s="63">
        <f t="shared" si="18"/>
        <v>2363.0641025054383</v>
      </c>
      <c r="AS19" s="63">
        <f t="shared" si="19"/>
        <v>1795.7752722387677</v>
      </c>
      <c r="AT19" s="63">
        <f t="shared" si="20"/>
        <v>661.40106106633175</v>
      </c>
      <c r="AU19" s="63">
        <f t="shared" si="21"/>
        <v>562.66425554936063</v>
      </c>
      <c r="AV19" s="63">
        <f t="shared" si="22"/>
        <v>290.63855224568897</v>
      </c>
      <c r="AW19" s="63">
        <f t="shared" si="23"/>
        <v>12819.474334482558</v>
      </c>
      <c r="AX19" s="63">
        <f t="shared" si="24"/>
        <v>4681.4627168301795</v>
      </c>
      <c r="AY19" s="63">
        <f t="shared" si="25"/>
        <v>1828.1438593147263</v>
      </c>
      <c r="AZ19" s="63">
        <f t="shared" si="26"/>
        <v>3021.2317643663227</v>
      </c>
      <c r="BA19" s="63">
        <f t="shared" si="27"/>
        <v>436.79331867516692</v>
      </c>
      <c r="BB19" s="63">
        <f t="shared" si="28"/>
        <v>2072.5961687729973</v>
      </c>
      <c r="BC19" s="63">
        <f t="shared" si="29"/>
        <v>1234.8770316846076</v>
      </c>
      <c r="BD19" s="63">
        <f t="shared" si="30"/>
        <v>3773.5593435587512</v>
      </c>
      <c r="BE19" s="63">
        <f t="shared" si="31"/>
        <v>3968.2395283519863</v>
      </c>
      <c r="BF19" s="70">
        <f t="shared" si="33"/>
        <v>7288.4466113298477</v>
      </c>
      <c r="BG19" s="80">
        <f>$BF19*'Health - Emissions'!$G$44</f>
        <v>1212.192678421507</v>
      </c>
      <c r="BH19" s="80">
        <f>$BF19*'Health - Emissions'!$G$45</f>
        <v>6076.2539329083411</v>
      </c>
      <c r="BI19" s="142">
        <f>($BG19*'Health - Emissions'!$C$40)+($BH19*'Health - Emissions'!$C$41)</f>
        <v>5916.0694927774075</v>
      </c>
    </row>
    <row r="20" spans="2:61" x14ac:dyDescent="0.3">
      <c r="B20" s="77" t="s">
        <v>77</v>
      </c>
      <c r="C20" s="59">
        <v>33.142415352559759</v>
      </c>
      <c r="K20" s="165">
        <v>2039</v>
      </c>
      <c r="L20" s="60">
        <f t="shared" si="0"/>
        <v>4916.9320308810484</v>
      </c>
      <c r="M20" s="61">
        <f t="shared" si="1"/>
        <v>896.05308064118208</v>
      </c>
      <c r="N20" s="61">
        <f t="shared" si="2"/>
        <v>680.94215604339502</v>
      </c>
      <c r="O20" s="61">
        <f t="shared" si="3"/>
        <v>250.79745305236321</v>
      </c>
      <c r="P20" s="61">
        <f t="shared" si="4"/>
        <v>213.35732662399101</v>
      </c>
      <c r="Q20" s="61">
        <f t="shared" si="5"/>
        <v>110.20757744858636</v>
      </c>
      <c r="R20" s="61">
        <f t="shared" si="6"/>
        <v>4861.0316823122203</v>
      </c>
      <c r="S20" s="61">
        <f t="shared" si="7"/>
        <v>1775.1694018266114</v>
      </c>
      <c r="T20" s="61">
        <f t="shared" si="8"/>
        <v>693.2160389798189</v>
      </c>
      <c r="U20" s="61">
        <f t="shared" si="9"/>
        <v>1145.6244572126259</v>
      </c>
      <c r="V20" s="61">
        <f t="shared" si="10"/>
        <v>165.62817673350347</v>
      </c>
      <c r="W20" s="61">
        <f t="shared" si="11"/>
        <v>785.91020022906082</v>
      </c>
      <c r="X20" s="61">
        <f t="shared" si="12"/>
        <v>468.25448674068804</v>
      </c>
      <c r="Y20" s="61">
        <f t="shared" si="13"/>
        <v>1430.9004445512501</v>
      </c>
      <c r="Z20" s="61">
        <f t="shared" si="14"/>
        <v>1504.7214547975734</v>
      </c>
      <c r="AA20" s="60">
        <f t="shared" si="34"/>
        <v>6945.5707869755261</v>
      </c>
      <c r="AB20" s="61">
        <f t="shared" si="35"/>
        <v>1265.7486541187004</v>
      </c>
      <c r="AC20" s="61">
        <f t="shared" si="36"/>
        <v>961.88678568893386</v>
      </c>
      <c r="AD20" s="61">
        <f t="shared" si="37"/>
        <v>354.27202418664069</v>
      </c>
      <c r="AE20" s="61">
        <f t="shared" si="38"/>
        <v>301.38476710267901</v>
      </c>
      <c r="AF20" s="61">
        <f t="shared" si="39"/>
        <v>155.67726493324838</v>
      </c>
      <c r="AG20" s="61">
        <f t="shared" si="40"/>
        <v>6866.6069482315879</v>
      </c>
      <c r="AH20" s="61">
        <f t="shared" si="41"/>
        <v>2507.5727428858586</v>
      </c>
      <c r="AI20" s="61">
        <f t="shared" si="42"/>
        <v>979.22465455321128</v>
      </c>
      <c r="AJ20" s="61">
        <f t="shared" si="43"/>
        <v>1618.2887444622484</v>
      </c>
      <c r="AK20" s="61">
        <f t="shared" si="44"/>
        <v>233.96341836641324</v>
      </c>
      <c r="AL20" s="61">
        <f t="shared" si="45"/>
        <v>1110.1627790691548</v>
      </c>
      <c r="AM20" s="61">
        <f t="shared" si="46"/>
        <v>661.447964614954</v>
      </c>
      <c r="AN20" s="61">
        <f t="shared" si="47"/>
        <v>2021.264533316036</v>
      </c>
      <c r="AO20" s="61">
        <f t="shared" si="48"/>
        <v>2125.5427802008135</v>
      </c>
      <c r="AP20" s="143">
        <f t="shared" si="16"/>
        <v>59111.055940551072</v>
      </c>
      <c r="AQ20" s="63">
        <f t="shared" si="17"/>
        <v>14606.19904388024</v>
      </c>
      <c r="AR20" s="63">
        <f t="shared" si="18"/>
        <v>2661.8081290381319</v>
      </c>
      <c r="AS20" s="63">
        <f t="shared" si="19"/>
        <v>2022.8013334478796</v>
      </c>
      <c r="AT20" s="63">
        <f t="shared" si="20"/>
        <v>745.01691216679785</v>
      </c>
      <c r="AU20" s="63">
        <f t="shared" si="21"/>
        <v>633.79757144655355</v>
      </c>
      <c r="AV20" s="63">
        <f t="shared" si="22"/>
        <v>327.38174988956655</v>
      </c>
      <c r="AW20" s="63">
        <f t="shared" si="23"/>
        <v>14440.141914619448</v>
      </c>
      <c r="AX20" s="63">
        <f t="shared" si="24"/>
        <v>5273.3040556265796</v>
      </c>
      <c r="AY20" s="63">
        <f t="shared" si="25"/>
        <v>2059.2620321284253</v>
      </c>
      <c r="AZ20" s="63">
        <f t="shared" si="26"/>
        <v>3403.182868197282</v>
      </c>
      <c r="BA20" s="63">
        <f t="shared" si="27"/>
        <v>492.01373975695037</v>
      </c>
      <c r="BB20" s="63">
        <f t="shared" si="28"/>
        <v>2334.6185676486766</v>
      </c>
      <c r="BC20" s="63">
        <f t="shared" si="29"/>
        <v>1390.9930406947151</v>
      </c>
      <c r="BD20" s="63">
        <f t="shared" si="30"/>
        <v>4250.6214391064586</v>
      </c>
      <c r="BE20" s="63">
        <f t="shared" si="31"/>
        <v>4469.9135429033286</v>
      </c>
      <c r="BF20" s="70">
        <f t="shared" si="33"/>
        <v>8209.8688806320934</v>
      </c>
      <c r="BG20" s="80">
        <f>$BF20*'Health - Emissions'!$G$44</f>
        <v>1365.4408790526859</v>
      </c>
      <c r="BH20" s="80">
        <f>$BF20*'Health - Emissions'!$G$45</f>
        <v>6844.4280015794075</v>
      </c>
      <c r="BI20" s="142">
        <f>($BG20*'Health - Emissions'!$C$40)+($BH20*'Health - Emissions'!$C$41)</f>
        <v>6663.9926742288417</v>
      </c>
    </row>
    <row r="21" spans="2:61" x14ac:dyDescent="0.3">
      <c r="B21" s="77" t="s">
        <v>78</v>
      </c>
      <c r="C21" s="59">
        <v>15.780009419702189</v>
      </c>
      <c r="K21" s="165">
        <v>2040</v>
      </c>
      <c r="L21" s="60">
        <f t="shared" si="0"/>
        <v>4952.3339415033925</v>
      </c>
      <c r="M21" s="61">
        <f t="shared" si="1"/>
        <v>902.50466282179866</v>
      </c>
      <c r="N21" s="61">
        <f t="shared" si="2"/>
        <v>685.84493956690756</v>
      </c>
      <c r="O21" s="61">
        <f t="shared" si="3"/>
        <v>252.60319471434025</v>
      </c>
      <c r="P21" s="61">
        <f t="shared" si="4"/>
        <v>214.89349937568377</v>
      </c>
      <c r="Q21" s="61">
        <f t="shared" si="5"/>
        <v>111.00107200621619</v>
      </c>
      <c r="R21" s="61">
        <f t="shared" si="6"/>
        <v>4896.0311104248685</v>
      </c>
      <c r="S21" s="61">
        <f t="shared" si="7"/>
        <v>1787.9506215197632</v>
      </c>
      <c r="T21" s="61">
        <f t="shared" si="8"/>
        <v>698.20719446047372</v>
      </c>
      <c r="U21" s="61">
        <f t="shared" si="9"/>
        <v>1153.8729533045569</v>
      </c>
      <c r="V21" s="61">
        <f t="shared" si="10"/>
        <v>166.82069960598471</v>
      </c>
      <c r="W21" s="61">
        <f t="shared" si="11"/>
        <v>791.56875367071018</v>
      </c>
      <c r="X21" s="61">
        <f t="shared" si="12"/>
        <v>471.62591904522105</v>
      </c>
      <c r="Y21" s="61">
        <f t="shared" si="13"/>
        <v>1441.2029277520191</v>
      </c>
      <c r="Z21" s="61">
        <f t="shared" si="14"/>
        <v>1515.555449272116</v>
      </c>
      <c r="AA21" s="60">
        <f t="shared" si="34"/>
        <v>7218.7378634446222</v>
      </c>
      <c r="AB21" s="61">
        <f t="shared" si="35"/>
        <v>1315.5301436456198</v>
      </c>
      <c r="AC21" s="61">
        <f t="shared" si="36"/>
        <v>999.71748516630839</v>
      </c>
      <c r="AD21" s="61">
        <f t="shared" si="37"/>
        <v>368.20542953085356</v>
      </c>
      <c r="AE21" s="61">
        <f t="shared" si="38"/>
        <v>313.2381335497019</v>
      </c>
      <c r="AF21" s="61">
        <f t="shared" si="39"/>
        <v>161.80000194634829</v>
      </c>
      <c r="AG21" s="61">
        <f t="shared" si="40"/>
        <v>7136.6684021913134</v>
      </c>
      <c r="AH21" s="61">
        <f t="shared" si="41"/>
        <v>2606.1947764402821</v>
      </c>
      <c r="AI21" s="61">
        <f t="shared" si="42"/>
        <v>1017.7372468648998</v>
      </c>
      <c r="AJ21" s="61">
        <f t="shared" si="43"/>
        <v>1681.9355229295504</v>
      </c>
      <c r="AK21" s="61">
        <f t="shared" si="44"/>
        <v>243.16512474247043</v>
      </c>
      <c r="AL21" s="61">
        <f t="shared" si="45"/>
        <v>1153.8251259178555</v>
      </c>
      <c r="AM21" s="61">
        <f t="shared" si="46"/>
        <v>687.4625013999115</v>
      </c>
      <c r="AN21" s="61">
        <f t="shared" si="47"/>
        <v>2100.7602206067054</v>
      </c>
      <c r="AO21" s="61">
        <f t="shared" si="48"/>
        <v>2209.1396975724224</v>
      </c>
      <c r="AP21" s="143">
        <f t="shared" si="16"/>
        <v>66039.125305714624</v>
      </c>
      <c r="AQ21" s="63">
        <f t="shared" si="17"/>
        <v>16318.108237976854</v>
      </c>
      <c r="AR21" s="63">
        <f t="shared" si="18"/>
        <v>2973.7834619315122</v>
      </c>
      <c r="AS21" s="63">
        <f t="shared" si="19"/>
        <v>2259.8823283156862</v>
      </c>
      <c r="AT21" s="63">
        <f t="shared" si="20"/>
        <v>832.33609067889586</v>
      </c>
      <c r="AU21" s="63">
        <f t="shared" si="21"/>
        <v>708.08136605293055</v>
      </c>
      <c r="AV21" s="63">
        <f t="shared" si="22"/>
        <v>365.75229556895113</v>
      </c>
      <c r="AW21" s="63">
        <f t="shared" si="23"/>
        <v>16132.588500718402</v>
      </c>
      <c r="AX21" s="63">
        <f t="shared" si="24"/>
        <v>5891.3579154277359</v>
      </c>
      <c r="AY21" s="63">
        <f t="shared" si="25"/>
        <v>2300.6163773118678</v>
      </c>
      <c r="AZ21" s="63">
        <f t="shared" si="26"/>
        <v>3802.0505012999538</v>
      </c>
      <c r="BA21" s="63">
        <f t="shared" si="27"/>
        <v>549.67986098269716</v>
      </c>
      <c r="BB21" s="63">
        <f t="shared" si="28"/>
        <v>2608.2458801794464</v>
      </c>
      <c r="BC21" s="63">
        <f t="shared" si="29"/>
        <v>1554.0233929537712</v>
      </c>
      <c r="BD21" s="63">
        <f t="shared" si="30"/>
        <v>4748.8125085537413</v>
      </c>
      <c r="BE21" s="63">
        <f t="shared" si="31"/>
        <v>4993.8065877622066</v>
      </c>
      <c r="BF21" s="70">
        <f t="shared" si="33"/>
        <v>9172.1007369048093</v>
      </c>
      <c r="BG21" s="80">
        <f>$BF21*'Health - Emissions'!$G$44</f>
        <v>1525.4764083387952</v>
      </c>
      <c r="BH21" s="80">
        <f>$BF21*'Health - Emissions'!$G$45</f>
        <v>7646.6243285660139</v>
      </c>
      <c r="BI21" s="142">
        <f>($BG21*'Health - Emissions'!$C$40)+($BH21*'Health - Emissions'!$C$41)</f>
        <v>7445.041206713724</v>
      </c>
    </row>
    <row r="22" spans="2:61" x14ac:dyDescent="0.3">
      <c r="B22" s="77" t="s">
        <v>79</v>
      </c>
      <c r="C22" s="59">
        <v>167.87246355130682</v>
      </c>
      <c r="K22" s="165">
        <v>2041</v>
      </c>
      <c r="L22" s="60">
        <f t="shared" si="0"/>
        <v>4987.9907458822172</v>
      </c>
      <c r="M22" s="61">
        <f t="shared" si="1"/>
        <v>909.00269639411567</v>
      </c>
      <c r="N22" s="61">
        <f t="shared" si="2"/>
        <v>690.78302313178938</v>
      </c>
      <c r="O22" s="61">
        <f t="shared" si="3"/>
        <v>254.42193771628351</v>
      </c>
      <c r="P22" s="61">
        <f t="shared" si="4"/>
        <v>216.4407325711887</v>
      </c>
      <c r="Q22" s="61">
        <f t="shared" si="5"/>
        <v>111.80027972466095</v>
      </c>
      <c r="R22" s="61">
        <f t="shared" si="6"/>
        <v>4931.2825344199282</v>
      </c>
      <c r="S22" s="61">
        <f t="shared" si="7"/>
        <v>1800.8238659947058</v>
      </c>
      <c r="T22" s="61">
        <f t="shared" si="8"/>
        <v>703.23428626058922</v>
      </c>
      <c r="U22" s="61">
        <f t="shared" si="9"/>
        <v>1162.1808385683498</v>
      </c>
      <c r="V22" s="61">
        <f t="shared" si="10"/>
        <v>168.02180864314781</v>
      </c>
      <c r="W22" s="61">
        <f t="shared" si="11"/>
        <v>797.26804869713942</v>
      </c>
      <c r="X22" s="61">
        <f t="shared" si="12"/>
        <v>475.02162566234671</v>
      </c>
      <c r="Y22" s="61">
        <f t="shared" si="13"/>
        <v>1451.5795888318339</v>
      </c>
      <c r="Z22" s="61">
        <f t="shared" si="14"/>
        <v>1526.4674485068754</v>
      </c>
      <c r="AA22" s="60">
        <f t="shared" si="34"/>
        <v>7502.6485136177835</v>
      </c>
      <c r="AB22" s="61">
        <f t="shared" si="35"/>
        <v>1367.2695232255562</v>
      </c>
      <c r="AC22" s="61">
        <f t="shared" si="36"/>
        <v>1039.0360539483042</v>
      </c>
      <c r="AD22" s="61">
        <f t="shared" si="37"/>
        <v>382.68683124856466</v>
      </c>
      <c r="AE22" s="61">
        <f t="shared" si="38"/>
        <v>325.55768910600898</v>
      </c>
      <c r="AF22" s="61">
        <f t="shared" si="39"/>
        <v>168.16354424689757</v>
      </c>
      <c r="AG22" s="61">
        <f t="shared" si="40"/>
        <v>7417.3512867156096</v>
      </c>
      <c r="AH22" s="61">
        <f t="shared" si="41"/>
        <v>2708.6955830153502</v>
      </c>
      <c r="AI22" s="61">
        <f t="shared" si="42"/>
        <v>1057.7645271081776</v>
      </c>
      <c r="AJ22" s="61">
        <f t="shared" si="43"/>
        <v>1748.0855088270025</v>
      </c>
      <c r="AK22" s="61">
        <f t="shared" si="44"/>
        <v>252.72873128575191</v>
      </c>
      <c r="AL22" s="61">
        <f t="shared" si="45"/>
        <v>1199.2046988961647</v>
      </c>
      <c r="AM22" s="61">
        <f t="shared" si="46"/>
        <v>714.50018159196964</v>
      </c>
      <c r="AN22" s="61">
        <f t="shared" si="47"/>
        <v>2183.3824478398969</v>
      </c>
      <c r="AO22" s="61">
        <f t="shared" si="48"/>
        <v>2296.0244549532431</v>
      </c>
      <c r="AP22" s="143">
        <f t="shared" si="16"/>
        <v>73272.816825271992</v>
      </c>
      <c r="AQ22" s="63">
        <f t="shared" si="17"/>
        <v>18105.535927696077</v>
      </c>
      <c r="AR22" s="63">
        <f t="shared" si="18"/>
        <v>3299.521153186372</v>
      </c>
      <c r="AS22" s="63">
        <f t="shared" si="19"/>
        <v>2507.4218218789069</v>
      </c>
      <c r="AT22" s="63">
        <f t="shared" si="20"/>
        <v>923.5072334324243</v>
      </c>
      <c r="AU22" s="63">
        <f t="shared" si="21"/>
        <v>785.64208705070598</v>
      </c>
      <c r="AV22" s="63">
        <f t="shared" si="22"/>
        <v>405.81550456010365</v>
      </c>
      <c r="AW22" s="63">
        <f t="shared" si="23"/>
        <v>17899.695016528905</v>
      </c>
      <c r="AX22" s="63">
        <f t="shared" si="24"/>
        <v>6536.6763625486401</v>
      </c>
      <c r="AY22" s="63">
        <f t="shared" si="25"/>
        <v>2552.6177341026364</v>
      </c>
      <c r="AZ22" s="63">
        <f t="shared" si="26"/>
        <v>4218.5136258622997</v>
      </c>
      <c r="BA22" s="63">
        <f t="shared" si="27"/>
        <v>609.88984302674953</v>
      </c>
      <c r="BB22" s="63">
        <f t="shared" si="28"/>
        <v>2893.9438814329819</v>
      </c>
      <c r="BC22" s="63">
        <f t="shared" si="29"/>
        <v>1724.245602693285</v>
      </c>
      <c r="BD22" s="63">
        <f t="shared" si="30"/>
        <v>5268.9805848580536</v>
      </c>
      <c r="BE22" s="63">
        <f t="shared" si="31"/>
        <v>5540.8104464138478</v>
      </c>
      <c r="BF22" s="70">
        <f t="shared" si="33"/>
        <v>10176.78011462111</v>
      </c>
      <c r="BG22" s="80">
        <f>$BF22*'Health - Emissions'!$G$44</f>
        <v>1692.5716826508292</v>
      </c>
      <c r="BH22" s="80">
        <f>$BF22*'Health - Emissions'!$G$45</f>
        <v>8484.2084319702808</v>
      </c>
      <c r="BI22" s="142">
        <f>($BG22*'Health - Emissions'!$C$40)+($BH22*'Health - Emissions'!$C$41)</f>
        <v>8260.5446100439294</v>
      </c>
    </row>
    <row r="23" spans="2:61" x14ac:dyDescent="0.3">
      <c r="B23" s="77" t="s">
        <v>80</v>
      </c>
      <c r="C23" s="59">
        <v>154.911425491355</v>
      </c>
      <c r="K23" s="165">
        <v>2042</v>
      </c>
      <c r="L23" s="60">
        <f t="shared" si="0"/>
        <v>5023.9042792525697</v>
      </c>
      <c r="M23" s="61">
        <f t="shared" si="1"/>
        <v>915.54751580815343</v>
      </c>
      <c r="N23" s="61">
        <f t="shared" si="2"/>
        <v>695.75666089833828</v>
      </c>
      <c r="O23" s="61">
        <f t="shared" si="3"/>
        <v>256.25377566784078</v>
      </c>
      <c r="P23" s="61">
        <f t="shared" si="4"/>
        <v>217.99910584570128</v>
      </c>
      <c r="Q23" s="61">
        <f t="shared" si="5"/>
        <v>112.60524173867853</v>
      </c>
      <c r="R23" s="61">
        <f t="shared" si="6"/>
        <v>4966.7877686677521</v>
      </c>
      <c r="S23" s="61">
        <f t="shared" si="7"/>
        <v>1813.7897978298679</v>
      </c>
      <c r="T23" s="61">
        <f t="shared" si="8"/>
        <v>708.29757312166555</v>
      </c>
      <c r="U23" s="61">
        <f t="shared" si="9"/>
        <v>1170.548540606042</v>
      </c>
      <c r="V23" s="61">
        <f t="shared" si="10"/>
        <v>169.2315656653785</v>
      </c>
      <c r="W23" s="61">
        <f t="shared" si="11"/>
        <v>803.00837864775895</v>
      </c>
      <c r="X23" s="61">
        <f t="shared" si="12"/>
        <v>478.44178136711565</v>
      </c>
      <c r="Y23" s="61">
        <f t="shared" si="13"/>
        <v>1462.0309618714232</v>
      </c>
      <c r="Z23" s="61">
        <f t="shared" si="14"/>
        <v>1537.458014136125</v>
      </c>
      <c r="AA23" s="60">
        <f t="shared" si="34"/>
        <v>7797.7252788108472</v>
      </c>
      <c r="AB23" s="61">
        <f t="shared" si="35"/>
        <v>1421.0437960477702</v>
      </c>
      <c r="AC23" s="61">
        <f t="shared" si="36"/>
        <v>1079.9010094585537</v>
      </c>
      <c r="AD23" s="61">
        <f t="shared" si="37"/>
        <v>397.73778186178475</v>
      </c>
      <c r="AE23" s="61">
        <f t="shared" si="38"/>
        <v>338.36176884008785</v>
      </c>
      <c r="AF23" s="61">
        <f t="shared" si="39"/>
        <v>174.77736262979391</v>
      </c>
      <c r="AG23" s="61">
        <f t="shared" si="40"/>
        <v>7709.0733392697239</v>
      </c>
      <c r="AH23" s="61">
        <f t="shared" si="41"/>
        <v>2815.2277135127579</v>
      </c>
      <c r="AI23" s="61">
        <f t="shared" si="42"/>
        <v>1099.3660674746939</v>
      </c>
      <c r="AJ23" s="61">
        <f t="shared" si="43"/>
        <v>1816.837152501806</v>
      </c>
      <c r="AK23" s="61">
        <f t="shared" si="44"/>
        <v>262.66847141402656</v>
      </c>
      <c r="AL23" s="61">
        <f t="shared" si="45"/>
        <v>1246.3690359582474</v>
      </c>
      <c r="AM23" s="61">
        <f t="shared" si="46"/>
        <v>742.60124509392369</v>
      </c>
      <c r="AN23" s="61">
        <f t="shared" si="47"/>
        <v>2269.2541808310571</v>
      </c>
      <c r="AO23" s="61">
        <f t="shared" si="48"/>
        <v>2386.3263620387288</v>
      </c>
      <c r="AP23" s="143">
        <f t="shared" si="16"/>
        <v>80824.389153259603</v>
      </c>
      <c r="AQ23" s="63">
        <f t="shared" si="17"/>
        <v>19971.5111968196</v>
      </c>
      <c r="AR23" s="63">
        <f t="shared" si="18"/>
        <v>3639.5732177252412</v>
      </c>
      <c r="AS23" s="63">
        <f t="shared" si="19"/>
        <v>2765.8393096335512</v>
      </c>
      <c r="AT23" s="63">
        <f t="shared" si="20"/>
        <v>1018.6848445963966</v>
      </c>
      <c r="AU23" s="63">
        <f t="shared" si="21"/>
        <v>866.61117355958334</v>
      </c>
      <c r="AV23" s="63">
        <f t="shared" si="22"/>
        <v>447.6392704160308</v>
      </c>
      <c r="AW23" s="63">
        <f t="shared" si="23"/>
        <v>19744.456108334198</v>
      </c>
      <c r="AX23" s="63">
        <f t="shared" si="24"/>
        <v>7210.352992916808</v>
      </c>
      <c r="AY23" s="63">
        <f t="shared" si="25"/>
        <v>2815.6931593418039</v>
      </c>
      <c r="AZ23" s="63">
        <f t="shared" si="26"/>
        <v>4653.2780056495012</v>
      </c>
      <c r="BA23" s="63">
        <f t="shared" si="27"/>
        <v>672.745721390266</v>
      </c>
      <c r="BB23" s="63">
        <f t="shared" si="28"/>
        <v>3192.196732635517</v>
      </c>
      <c r="BC23" s="63">
        <f t="shared" si="29"/>
        <v>1901.948138833018</v>
      </c>
      <c r="BD23" s="63">
        <f t="shared" si="30"/>
        <v>5812.0071765093644</v>
      </c>
      <c r="BE23" s="63">
        <f t="shared" si="31"/>
        <v>6111.8521048987477</v>
      </c>
      <c r="BF23" s="70">
        <f t="shared" si="33"/>
        <v>11225.609604619389</v>
      </c>
      <c r="BG23" s="80">
        <f>$BF23*'Health - Emissions'!$G$44</f>
        <v>1867.0098718134032</v>
      </c>
      <c r="BH23" s="80">
        <f>$BF23*'Health - Emissions'!$G$45</f>
        <v>9358.5997328059857</v>
      </c>
      <c r="BI23" s="142">
        <f>($BG23*'Health - Emissions'!$C$40)+($BH23*'Health - Emissions'!$C$41)</f>
        <v>9111.8848859346181</v>
      </c>
    </row>
    <row r="24" spans="2:61" x14ac:dyDescent="0.3">
      <c r="B24" s="77" t="s">
        <v>81</v>
      </c>
      <c r="C24" s="59">
        <v>41.661333259223213</v>
      </c>
      <c r="K24" s="165">
        <v>2043</v>
      </c>
      <c r="L24" s="60">
        <f t="shared" si="0"/>
        <v>5060.0763900631891</v>
      </c>
      <c r="M24" s="61">
        <f t="shared" si="1"/>
        <v>922.13945792197228</v>
      </c>
      <c r="N24" s="61">
        <f t="shared" si="2"/>
        <v>700.76610885680634</v>
      </c>
      <c r="O24" s="61">
        <f t="shared" si="3"/>
        <v>258.09880285264927</v>
      </c>
      <c r="P24" s="61">
        <f t="shared" si="4"/>
        <v>219.56869940779035</v>
      </c>
      <c r="Q24" s="61">
        <f t="shared" si="5"/>
        <v>113.41599947919703</v>
      </c>
      <c r="R24" s="61">
        <f t="shared" si="6"/>
        <v>5002.54864060216</v>
      </c>
      <c r="S24" s="61">
        <f t="shared" si="7"/>
        <v>1826.8490843742431</v>
      </c>
      <c r="T24" s="61">
        <f t="shared" si="8"/>
        <v>713.39731564814156</v>
      </c>
      <c r="U24" s="61">
        <f t="shared" si="9"/>
        <v>1178.9764900984057</v>
      </c>
      <c r="V24" s="61">
        <f t="shared" si="10"/>
        <v>170.45003293816924</v>
      </c>
      <c r="W24" s="61">
        <f t="shared" si="11"/>
        <v>808.79003897402288</v>
      </c>
      <c r="X24" s="61">
        <f t="shared" si="12"/>
        <v>481.88656219295893</v>
      </c>
      <c r="Y24" s="61">
        <f t="shared" si="13"/>
        <v>1472.5575847968976</v>
      </c>
      <c r="Z24" s="61">
        <f t="shared" si="14"/>
        <v>1548.5277118379054</v>
      </c>
      <c r="AA24" s="60">
        <f t="shared" si="34"/>
        <v>8104.40731875439</v>
      </c>
      <c r="AB24" s="61">
        <f t="shared" si="35"/>
        <v>1476.9329938123146</v>
      </c>
      <c r="AC24" s="61">
        <f t="shared" si="36"/>
        <v>1122.3731705922357</v>
      </c>
      <c r="AD24" s="61">
        <f t="shared" si="37"/>
        <v>413.38068154631861</v>
      </c>
      <c r="AE24" s="61">
        <f t="shared" si="38"/>
        <v>351.66942893280253</v>
      </c>
      <c r="AF24" s="61">
        <f t="shared" si="39"/>
        <v>181.6513003732677</v>
      </c>
      <c r="AG24" s="61">
        <f t="shared" si="40"/>
        <v>8012.2687267997344</v>
      </c>
      <c r="AH24" s="61">
        <f t="shared" si="41"/>
        <v>2925.9497186123467</v>
      </c>
      <c r="AI24" s="61">
        <f t="shared" si="42"/>
        <v>1142.6037831113322</v>
      </c>
      <c r="AJ24" s="61">
        <f t="shared" si="43"/>
        <v>1888.2927763218136</v>
      </c>
      <c r="AK24" s="61">
        <f t="shared" si="44"/>
        <v>272.9991383408294</v>
      </c>
      <c r="AL24" s="61">
        <f t="shared" si="45"/>
        <v>1295.3883313043939</v>
      </c>
      <c r="AM24" s="61">
        <f t="shared" si="46"/>
        <v>771.80751443106942</v>
      </c>
      <c r="AN24" s="61">
        <f t="shared" si="47"/>
        <v>2358.5032216018049</v>
      </c>
      <c r="AO24" s="61">
        <f t="shared" si="48"/>
        <v>2480.1798142332764</v>
      </c>
      <c r="AP24" s="143">
        <f t="shared" si="16"/>
        <v>88706.584790808643</v>
      </c>
      <c r="AQ24" s="63">
        <f t="shared" si="17"/>
        <v>21919.182686576645</v>
      </c>
      <c r="AR24" s="63">
        <f t="shared" si="18"/>
        <v>3994.5134584104649</v>
      </c>
      <c r="AS24" s="63">
        <f t="shared" si="19"/>
        <v>3035.5708444950919</v>
      </c>
      <c r="AT24" s="63">
        <f t="shared" si="20"/>
        <v>1118.0295265944194</v>
      </c>
      <c r="AU24" s="63">
        <f t="shared" si="21"/>
        <v>951.1252525800877</v>
      </c>
      <c r="AV24" s="63">
        <f t="shared" si="22"/>
        <v>491.29416643730889</v>
      </c>
      <c r="AW24" s="63">
        <f t="shared" si="23"/>
        <v>21669.984620622537</v>
      </c>
      <c r="AX24" s="63">
        <f t="shared" si="24"/>
        <v>7913.5245665143457</v>
      </c>
      <c r="AY24" s="63">
        <f t="shared" si="25"/>
        <v>3090.2865657349726</v>
      </c>
      <c r="AZ24" s="63">
        <f t="shared" si="26"/>
        <v>5107.0772608085363</v>
      </c>
      <c r="BA24" s="63">
        <f t="shared" si="27"/>
        <v>738.3535588991532</v>
      </c>
      <c r="BB24" s="63">
        <f t="shared" si="28"/>
        <v>3503.5077047786713</v>
      </c>
      <c r="BC24" s="63">
        <f t="shared" si="29"/>
        <v>2087.4308561143957</v>
      </c>
      <c r="BD24" s="63">
        <f t="shared" si="30"/>
        <v>6378.8085849953322</v>
      </c>
      <c r="BE24" s="63">
        <f t="shared" si="31"/>
        <v>6707.8951372466718</v>
      </c>
      <c r="BF24" s="70">
        <f t="shared" si="33"/>
        <v>12320.358998723423</v>
      </c>
      <c r="BG24" s="80">
        <f>$BF24*'Health - Emissions'!$G$44</f>
        <v>2049.0853223183713</v>
      </c>
      <c r="BH24" s="80">
        <f>$BF24*'Health - Emissions'!$G$45</f>
        <v>10271.273676405051</v>
      </c>
      <c r="BI24" s="142">
        <f>($BG24*'Health - Emissions'!$C$40)+($BH24*'Health - Emissions'!$C$41)</f>
        <v>10000.49858348542</v>
      </c>
    </row>
    <row r="25" spans="2:61" x14ac:dyDescent="0.3">
      <c r="B25" s="77" t="s">
        <v>82</v>
      </c>
      <c r="C25" s="59">
        <v>95.508149669655324</v>
      </c>
      <c r="K25" s="165">
        <v>2044</v>
      </c>
      <c r="L25" s="60">
        <f t="shared" si="0"/>
        <v>5096.5089400716442</v>
      </c>
      <c r="M25" s="61">
        <f t="shared" si="1"/>
        <v>928.7788620190106</v>
      </c>
      <c r="N25" s="61">
        <f t="shared" si="2"/>
        <v>705.8116248405754</v>
      </c>
      <c r="O25" s="61">
        <f t="shared" si="3"/>
        <v>259.95711423318835</v>
      </c>
      <c r="P25" s="61">
        <f t="shared" si="4"/>
        <v>221.14959404352646</v>
      </c>
      <c r="Q25" s="61">
        <f t="shared" si="5"/>
        <v>114.23259467544726</v>
      </c>
      <c r="R25" s="61">
        <f t="shared" si="6"/>
        <v>5038.5669908144964</v>
      </c>
      <c r="S25" s="61">
        <f t="shared" si="7"/>
        <v>1840.002397781738</v>
      </c>
      <c r="T25" s="61">
        <f t="shared" si="8"/>
        <v>718.53377632080822</v>
      </c>
      <c r="U25" s="61">
        <f t="shared" si="9"/>
        <v>1187.4651208271143</v>
      </c>
      <c r="V25" s="61">
        <f t="shared" si="10"/>
        <v>171.67727317532407</v>
      </c>
      <c r="W25" s="61">
        <f t="shared" si="11"/>
        <v>814.61332725463592</v>
      </c>
      <c r="X25" s="61">
        <f t="shared" si="12"/>
        <v>485.35614544074826</v>
      </c>
      <c r="Y25" s="61">
        <f t="shared" si="13"/>
        <v>1483.1599994074354</v>
      </c>
      <c r="Z25" s="61">
        <f t="shared" si="14"/>
        <v>1559.6771113631385</v>
      </c>
      <c r="AA25" s="60">
        <f t="shared" si="34"/>
        <v>8423.1510651906592</v>
      </c>
      <c r="AB25" s="61">
        <f t="shared" si="35"/>
        <v>1535.0202958403952</v>
      </c>
      <c r="AC25" s="61">
        <f t="shared" si="36"/>
        <v>1166.515748232214</v>
      </c>
      <c r="AD25" s="61">
        <f t="shared" si="37"/>
        <v>429.63881146971727</v>
      </c>
      <c r="AE25" s="61">
        <f t="shared" si="38"/>
        <v>365.50047503851243</v>
      </c>
      <c r="AF25" s="61">
        <f t="shared" si="39"/>
        <v>188.79558788853222</v>
      </c>
      <c r="AG25" s="61">
        <f t="shared" si="40"/>
        <v>8327.3886918987773</v>
      </c>
      <c r="AH25" s="61">
        <f t="shared" si="41"/>
        <v>3041.0263847414608</v>
      </c>
      <c r="AI25" s="61">
        <f t="shared" si="42"/>
        <v>1187.5420242678904</v>
      </c>
      <c r="AJ25" s="61">
        <f t="shared" si="43"/>
        <v>1962.5587269608623</v>
      </c>
      <c r="AK25" s="61">
        <f t="shared" si="44"/>
        <v>283.73610709205002</v>
      </c>
      <c r="AL25" s="61">
        <f t="shared" si="45"/>
        <v>1346.33553985033</v>
      </c>
      <c r="AM25" s="61">
        <f t="shared" si="46"/>
        <v>802.16245699523881</v>
      </c>
      <c r="AN25" s="61">
        <f t="shared" si="47"/>
        <v>2451.2623985863734</v>
      </c>
      <c r="AO25" s="61">
        <f t="shared" si="48"/>
        <v>2577.7244926695312</v>
      </c>
      <c r="AP25" s="143">
        <f t="shared" si="16"/>
        <v>96932.649128066711</v>
      </c>
      <c r="AQ25" s="63">
        <f t="shared" si="17"/>
        <v>23951.823300856908</v>
      </c>
      <c r="AR25" s="63">
        <f t="shared" si="18"/>
        <v>4364.9383235139694</v>
      </c>
      <c r="AS25" s="63">
        <f t="shared" si="19"/>
        <v>3317.0696884197982</v>
      </c>
      <c r="AT25" s="63">
        <f t="shared" si="20"/>
        <v>1221.7082201030082</v>
      </c>
      <c r="AU25" s="63">
        <f t="shared" si="21"/>
        <v>1039.3263431638991</v>
      </c>
      <c r="AV25" s="63">
        <f t="shared" si="22"/>
        <v>536.85355113421178</v>
      </c>
      <c r="AW25" s="63">
        <f t="shared" si="23"/>
        <v>23679.516247806823</v>
      </c>
      <c r="AX25" s="63">
        <f t="shared" si="24"/>
        <v>8647.3727061100053</v>
      </c>
      <c r="AY25" s="63">
        <f t="shared" si="25"/>
        <v>3376.8593852189915</v>
      </c>
      <c r="AZ25" s="63">
        <f t="shared" si="26"/>
        <v>5580.6739641629856</v>
      </c>
      <c r="BA25" s="63">
        <f t="shared" si="27"/>
        <v>806.82360420042687</v>
      </c>
      <c r="BB25" s="63">
        <f t="shared" si="28"/>
        <v>3828.3999306889973</v>
      </c>
      <c r="BC25" s="63">
        <f t="shared" si="29"/>
        <v>2281.0054431923322</v>
      </c>
      <c r="BD25" s="63">
        <f t="shared" si="30"/>
        <v>6970.3372740883533</v>
      </c>
      <c r="BE25" s="63">
        <f t="shared" si="31"/>
        <v>7329.9411454060273</v>
      </c>
      <c r="BF25" s="70">
        <f t="shared" si="33"/>
        <v>13462.867934453709</v>
      </c>
      <c r="BG25" s="80">
        <f>$BF25*'Health - Emissions'!$G$44</f>
        <v>2239.1039971853202</v>
      </c>
      <c r="BH25" s="80">
        <f>$BF25*'Health - Emissions'!$G$45</f>
        <v>11223.763937268388</v>
      </c>
      <c r="BI25" s="142">
        <f>($BG25*'Health - Emissions'!$C$40)+($BH25*'Health - Emissions'!$C$41)</f>
        <v>10927.878945906194</v>
      </c>
    </row>
    <row r="26" spans="2:61" x14ac:dyDescent="0.3">
      <c r="B26" s="77" t="s">
        <v>83</v>
      </c>
      <c r="C26" s="59">
        <v>56.79928325018259</v>
      </c>
      <c r="K26" s="165">
        <v>2045</v>
      </c>
      <c r="L26" s="60">
        <f t="shared" si="0"/>
        <v>5133.2038044401606</v>
      </c>
      <c r="M26" s="61">
        <f t="shared" si="1"/>
        <v>935.46606982554761</v>
      </c>
      <c r="N26" s="61">
        <f t="shared" si="2"/>
        <v>710.89346853942766</v>
      </c>
      <c r="O26" s="61">
        <f t="shared" si="3"/>
        <v>261.82880545566735</v>
      </c>
      <c r="P26" s="61">
        <f t="shared" si="4"/>
        <v>222.74187112063987</v>
      </c>
      <c r="Q26" s="61">
        <f t="shared" si="5"/>
        <v>115.0550693571105</v>
      </c>
      <c r="R26" s="61">
        <f t="shared" si="6"/>
        <v>5074.8446731483609</v>
      </c>
      <c r="S26" s="61">
        <f t="shared" si="7"/>
        <v>1853.2504150457667</v>
      </c>
      <c r="T26" s="61">
        <f t="shared" si="8"/>
        <v>723.70721951031805</v>
      </c>
      <c r="U26" s="61">
        <f t="shared" si="9"/>
        <v>1196.0148696970696</v>
      </c>
      <c r="V26" s="61">
        <f t="shared" si="10"/>
        <v>172.91334954218644</v>
      </c>
      <c r="W26" s="61">
        <f t="shared" si="11"/>
        <v>820.47854321086936</v>
      </c>
      <c r="X26" s="61">
        <f t="shared" si="12"/>
        <v>488.85070968792172</v>
      </c>
      <c r="Y26" s="61">
        <f t="shared" si="13"/>
        <v>1493.838751403169</v>
      </c>
      <c r="Z26" s="61">
        <f t="shared" si="14"/>
        <v>1570.9067865649531</v>
      </c>
      <c r="AA26" s="60">
        <f t="shared" si="34"/>
        <v>8754.4309011762689</v>
      </c>
      <c r="AB26" s="61">
        <f t="shared" si="35"/>
        <v>1595.3921528693033</v>
      </c>
      <c r="AC26" s="61">
        <f t="shared" si="36"/>
        <v>1212.3944393251479</v>
      </c>
      <c r="AD26" s="61">
        <f t="shared" si="37"/>
        <v>446.53636844040159</v>
      </c>
      <c r="AE26" s="61">
        <f t="shared" si="38"/>
        <v>379.87549176162514</v>
      </c>
      <c r="AF26" s="61">
        <f t="shared" si="39"/>
        <v>196.2208579456001</v>
      </c>
      <c r="AG26" s="61">
        <f t="shared" si="40"/>
        <v>8654.9022243867767</v>
      </c>
      <c r="AH26" s="61">
        <f t="shared" si="41"/>
        <v>3160.6289793248998</v>
      </c>
      <c r="AI26" s="61">
        <f t="shared" si="42"/>
        <v>1234.247672068899</v>
      </c>
      <c r="AJ26" s="61">
        <f t="shared" si="43"/>
        <v>2039.7455336734406</v>
      </c>
      <c r="AK26" s="61">
        <f t="shared" si="44"/>
        <v>294.89535738842613</v>
      </c>
      <c r="AL26" s="61">
        <f t="shared" si="45"/>
        <v>1399.286485805271</v>
      </c>
      <c r="AM26" s="61">
        <f t="shared" si="46"/>
        <v>833.71124973687552</v>
      </c>
      <c r="AN26" s="61">
        <f t="shared" si="47"/>
        <v>2547.6697643188081</v>
      </c>
      <c r="AO26" s="61">
        <f t="shared" si="48"/>
        <v>2679.1055720943868</v>
      </c>
      <c r="AP26" s="143">
        <f t="shared" si="16"/>
        <v>105516.35023512217</v>
      </c>
      <c r="AQ26" s="63">
        <f t="shared" si="17"/>
        <v>26072.835096499981</v>
      </c>
      <c r="AR26" s="63">
        <f t="shared" si="18"/>
        <v>4751.467797915041</v>
      </c>
      <c r="AS26" s="63">
        <f t="shared" si="19"/>
        <v>3610.806989657186</v>
      </c>
      <c r="AT26" s="63">
        <f t="shared" si="20"/>
        <v>1329.8944534900866</v>
      </c>
      <c r="AU26" s="63">
        <f t="shared" si="21"/>
        <v>1131.3620686150939</v>
      </c>
      <c r="AV26" s="63">
        <f t="shared" si="22"/>
        <v>584.39367783712521</v>
      </c>
      <c r="AW26" s="63">
        <f t="shared" si="23"/>
        <v>25776.414368916594</v>
      </c>
      <c r="AX26" s="63">
        <f t="shared" si="24"/>
        <v>9413.1256628097581</v>
      </c>
      <c r="AY26" s="63">
        <f t="shared" si="25"/>
        <v>3675.8912584217828</v>
      </c>
      <c r="AZ26" s="63">
        <f t="shared" si="26"/>
        <v>6074.8607806298714</v>
      </c>
      <c r="BA26" s="63">
        <f t="shared" si="27"/>
        <v>878.27045649292586</v>
      </c>
      <c r="BB26" s="63">
        <f t="shared" si="28"/>
        <v>4167.4171866796923</v>
      </c>
      <c r="BC26" s="63">
        <f t="shared" si="29"/>
        <v>2482.9958883524673</v>
      </c>
      <c r="BD26" s="63">
        <f t="shared" si="30"/>
        <v>7587.5832929926019</v>
      </c>
      <c r="BE26" s="63">
        <f t="shared" si="31"/>
        <v>7979.0312558119231</v>
      </c>
      <c r="BF26" s="70">
        <f t="shared" si="33"/>
        <v>14655.048643766968</v>
      </c>
      <c r="BG26" s="80">
        <f>$BF26*'Health - Emissions'!$G$44</f>
        <v>2437.3839331237145</v>
      </c>
      <c r="BH26" s="80">
        <f>$BF26*'Health - Emissions'!$G$45</f>
        <v>12217.664710643254</v>
      </c>
      <c r="BI26" s="142">
        <f>($BG26*'Health - Emissions'!$C$40)+($BH26*'Health - Emissions'!$C$41)</f>
        <v>11895.578141682974</v>
      </c>
    </row>
    <row r="27" spans="2:61" x14ac:dyDescent="0.3">
      <c r="B27" s="77" t="s">
        <v>84</v>
      </c>
      <c r="C27" s="59">
        <v>46.588528123257774</v>
      </c>
      <c r="K27" s="165">
        <v>2046</v>
      </c>
      <c r="L27" s="60">
        <f t="shared" si="0"/>
        <v>5170.1628718321299</v>
      </c>
      <c r="M27" s="61">
        <f t="shared" si="1"/>
        <v>942.20142552829168</v>
      </c>
      <c r="N27" s="61">
        <f t="shared" si="2"/>
        <v>716.01190151291155</v>
      </c>
      <c r="O27" s="61">
        <f t="shared" si="3"/>
        <v>263.71397285494817</v>
      </c>
      <c r="P27" s="61">
        <f t="shared" si="4"/>
        <v>224.34561259270851</v>
      </c>
      <c r="Q27" s="61">
        <f t="shared" si="5"/>
        <v>115.88346585648171</v>
      </c>
      <c r="R27" s="61">
        <f t="shared" si="6"/>
        <v>5111.3835547950293</v>
      </c>
      <c r="S27" s="61">
        <f t="shared" si="7"/>
        <v>1866.5938180340963</v>
      </c>
      <c r="T27" s="61">
        <f t="shared" si="8"/>
        <v>728.91791149079245</v>
      </c>
      <c r="U27" s="61">
        <f t="shared" si="9"/>
        <v>1204.6261767588885</v>
      </c>
      <c r="V27" s="61">
        <f t="shared" si="10"/>
        <v>174.15832565889019</v>
      </c>
      <c r="W27" s="61">
        <f t="shared" si="11"/>
        <v>826.3859887219877</v>
      </c>
      <c r="X27" s="61">
        <f t="shared" si="12"/>
        <v>492.37043479767482</v>
      </c>
      <c r="Y27" s="61">
        <f t="shared" si="13"/>
        <v>1504.5943904132719</v>
      </c>
      <c r="Z27" s="61">
        <f t="shared" si="14"/>
        <v>1582.2173154282209</v>
      </c>
      <c r="AA27" s="60">
        <f t="shared" si="34"/>
        <v>9098.7398671016454</v>
      </c>
      <c r="AB27" s="61">
        <f t="shared" ref="AB27:AO28" si="49">AB26*(1+$K$32)*(1+$K$34)</f>
        <v>1658.1384157161642</v>
      </c>
      <c r="AC27" s="61">
        <f t="shared" si="49"/>
        <v>1260.0775246575856</v>
      </c>
      <c r="AD27" s="61">
        <f t="shared" si="49"/>
        <v>464.09850091952472</v>
      </c>
      <c r="AE27" s="61">
        <f t="shared" si="49"/>
        <v>394.81587329245252</v>
      </c>
      <c r="AF27" s="61">
        <f t="shared" si="49"/>
        <v>203.93816149792605</v>
      </c>
      <c r="AG27" s="61">
        <f t="shared" si="49"/>
        <v>8995.296759303199</v>
      </c>
      <c r="AH27" s="61">
        <f t="shared" si="49"/>
        <v>3284.9355056804748</v>
      </c>
      <c r="AI27" s="61">
        <f t="shared" si="49"/>
        <v>1282.7902380521139</v>
      </c>
      <c r="AJ27" s="61">
        <f t="shared" si="49"/>
        <v>2119.9680727942464</v>
      </c>
      <c r="AK27" s="61">
        <f t="shared" si="49"/>
        <v>306.49349742799859</v>
      </c>
      <c r="AL27" s="61">
        <f t="shared" si="49"/>
        <v>1454.319975520317</v>
      </c>
      <c r="AM27" s="61">
        <f t="shared" si="49"/>
        <v>866.500846401427</v>
      </c>
      <c r="AN27" s="61">
        <f t="shared" si="49"/>
        <v>2647.8688008951426</v>
      </c>
      <c r="AO27" s="61">
        <f t="shared" si="49"/>
        <v>2784.4739369310764</v>
      </c>
      <c r="AP27" s="143">
        <f t="shared" si="16"/>
        <v>114471.99943138781</v>
      </c>
      <c r="AQ27" s="63">
        <f t="shared" si="17"/>
        <v>28285.754365940513</v>
      </c>
      <c r="AR27" s="63">
        <f t="shared" si="18"/>
        <v>5154.7463293526826</v>
      </c>
      <c r="AS27" s="63">
        <f t="shared" si="19"/>
        <v>3917.2724866416534</v>
      </c>
      <c r="AT27" s="63">
        <f t="shared" si="20"/>
        <v>1442.7686020649512</v>
      </c>
      <c r="AU27" s="63">
        <f t="shared" si="21"/>
        <v>1227.3858770381569</v>
      </c>
      <c r="AV27" s="63">
        <f t="shared" si="22"/>
        <v>633.99380861839927</v>
      </c>
      <c r="AW27" s="63">
        <f t="shared" si="23"/>
        <v>27964.175072458824</v>
      </c>
      <c r="AX27" s="63">
        <f t="shared" si="24"/>
        <v>10212.060151053925</v>
      </c>
      <c r="AY27" s="63">
        <f t="shared" si="25"/>
        <v>3987.8807512415142</v>
      </c>
      <c r="AZ27" s="63">
        <f t="shared" si="26"/>
        <v>6590.4616514545769</v>
      </c>
      <c r="BA27" s="63">
        <f t="shared" si="27"/>
        <v>952.8132367375805</v>
      </c>
      <c r="BB27" s="63">
        <f t="shared" si="28"/>
        <v>4521.1247049479716</v>
      </c>
      <c r="BC27" s="63">
        <f t="shared" si="29"/>
        <v>2693.7389635470158</v>
      </c>
      <c r="BD27" s="63">
        <f t="shared" si="30"/>
        <v>8231.5757554694701</v>
      </c>
      <c r="BE27" s="63">
        <f t="shared" si="31"/>
        <v>8656.2476748205609</v>
      </c>
      <c r="BF27" s="70">
        <f t="shared" si="33"/>
        <v>15898.888809914974</v>
      </c>
      <c r="BG27" s="80">
        <f>$BF27*'Health - Emissions'!$G$44</f>
        <v>2644.25571567713</v>
      </c>
      <c r="BH27" s="80">
        <f>$BF27*'Health - Emissions'!$G$45</f>
        <v>13254.633094237844</v>
      </c>
      <c r="BI27" s="142">
        <f>($BG27*'Health - Emissions'!$C$40)+($BH27*'Health - Emissions'!$C$41)</f>
        <v>12905.209583504944</v>
      </c>
    </row>
    <row r="28" spans="2:61" ht="15" thickBot="1" x14ac:dyDescent="0.35">
      <c r="B28" s="77" t="s">
        <v>85</v>
      </c>
      <c r="C28" s="59">
        <v>165.00878168762131</v>
      </c>
      <c r="K28" s="217">
        <v>2047</v>
      </c>
      <c r="L28" s="64">
        <f t="shared" si="0"/>
        <v>5207.3880445093218</v>
      </c>
      <c r="M28" s="65">
        <f t="shared" si="1"/>
        <v>948.98527579209542</v>
      </c>
      <c r="N28" s="65">
        <f t="shared" si="2"/>
        <v>721.16718720380459</v>
      </c>
      <c r="O28" s="65">
        <f t="shared" si="3"/>
        <v>265.61271345950382</v>
      </c>
      <c r="P28" s="65">
        <f t="shared" si="4"/>
        <v>225.96090100337602</v>
      </c>
      <c r="Q28" s="65">
        <f t="shared" si="5"/>
        <v>116.71782681064839</v>
      </c>
      <c r="R28" s="65">
        <f t="shared" si="6"/>
        <v>5148.1855163895543</v>
      </c>
      <c r="S28" s="65">
        <f t="shared" si="7"/>
        <v>1880.0332935239419</v>
      </c>
      <c r="T28" s="65">
        <f t="shared" si="8"/>
        <v>734.16612045352622</v>
      </c>
      <c r="U28" s="65">
        <f t="shared" si="9"/>
        <v>1213.2994852315526</v>
      </c>
      <c r="V28" s="65">
        <f t="shared" si="10"/>
        <v>175.41226560363421</v>
      </c>
      <c r="W28" s="65">
        <f t="shared" si="11"/>
        <v>832.33596784078611</v>
      </c>
      <c r="X28" s="65">
        <f t="shared" si="12"/>
        <v>495.91550192821813</v>
      </c>
      <c r="Y28" s="65">
        <f t="shared" si="13"/>
        <v>1515.4274700242477</v>
      </c>
      <c r="Z28" s="65">
        <f t="shared" si="14"/>
        <v>1593.6092800993042</v>
      </c>
      <c r="AA28" s="64">
        <f t="shared" si="34"/>
        <v>9456.5903944779966</v>
      </c>
      <c r="AB28" s="65">
        <f t="shared" si="49"/>
        <v>1723.3524690019881</v>
      </c>
      <c r="AC28" s="65">
        <f t="shared" si="49"/>
        <v>1309.6359704775609</v>
      </c>
      <c r="AD28" s="65">
        <f t="shared" si="49"/>
        <v>482.3513464491694</v>
      </c>
      <c r="AE28" s="65">
        <f t="shared" si="49"/>
        <v>410.34385524796528</v>
      </c>
      <c r="AF28" s="65">
        <f t="shared" si="49"/>
        <v>211.95898412942782</v>
      </c>
      <c r="AG28" s="65">
        <f t="shared" si="49"/>
        <v>9349.0789023516318</v>
      </c>
      <c r="AH28" s="65">
        <f t="shared" si="49"/>
        <v>3414.1309679395263</v>
      </c>
      <c r="AI28" s="65">
        <f t="shared" si="49"/>
        <v>1333.2419676218276</v>
      </c>
      <c r="AJ28" s="65">
        <f t="shared" si="49"/>
        <v>2203.3457387074609</v>
      </c>
      <c r="AK28" s="65">
        <f t="shared" si="49"/>
        <v>318.54778860392264</v>
      </c>
      <c r="AL28" s="65">
        <f t="shared" si="49"/>
        <v>1511.5179147751392</v>
      </c>
      <c r="AM28" s="65">
        <f t="shared" si="49"/>
        <v>900.58004741012439</v>
      </c>
      <c r="AN28" s="65">
        <f t="shared" si="49"/>
        <v>2752.0086335163323</v>
      </c>
      <c r="AO28" s="65">
        <f t="shared" si="49"/>
        <v>2893.9864058389162</v>
      </c>
      <c r="AP28" s="218">
        <f t="shared" si="16"/>
        <v>123814.4726640634</v>
      </c>
      <c r="AQ28" s="219">
        <f t="shared" si="17"/>
        <v>30594.25691977446</v>
      </c>
      <c r="AR28" s="219">
        <f t="shared" si="18"/>
        <v>5575.4437911112273</v>
      </c>
      <c r="AS28" s="219">
        <f t="shared" si="19"/>
        <v>4236.9752395710457</v>
      </c>
      <c r="AT28" s="219">
        <f t="shared" si="20"/>
        <v>1560.5181575255922</v>
      </c>
      <c r="AU28" s="219">
        <f t="shared" si="21"/>
        <v>1327.5572705610427</v>
      </c>
      <c r="AV28" s="219">
        <f t="shared" si="22"/>
        <v>685.7363326952119</v>
      </c>
      <c r="AW28" s="219">
        <f t="shared" si="23"/>
        <v>30246.432378926958</v>
      </c>
      <c r="AX28" s="219">
        <f t="shared" si="24"/>
        <v>11045.503255792208</v>
      </c>
      <c r="AY28" s="219">
        <f t="shared" si="25"/>
        <v>4313.3460996117701</v>
      </c>
      <c r="AZ28" s="219">
        <f t="shared" si="26"/>
        <v>7128.3330250265399</v>
      </c>
      <c r="BA28" s="219">
        <f t="shared" si="27"/>
        <v>1030.5757656020767</v>
      </c>
      <c r="BB28" s="219">
        <f t="shared" si="28"/>
        <v>4890.1100179273417</v>
      </c>
      <c r="BC28" s="219">
        <f t="shared" si="29"/>
        <v>2913.5847274697253</v>
      </c>
      <c r="BD28" s="219">
        <f t="shared" si="30"/>
        <v>8903.3843771430093</v>
      </c>
      <c r="BE28" s="219">
        <f t="shared" si="31"/>
        <v>9362.7153053252059</v>
      </c>
      <c r="BF28" s="220">
        <f t="shared" si="33"/>
        <v>17196.454536675472</v>
      </c>
      <c r="BG28" s="221">
        <f>$BF28*'Health - Emissions'!$G$44</f>
        <v>2860.0629730568703</v>
      </c>
      <c r="BH28" s="221">
        <f>$BF28*'Health - Emissions'!$G$45</f>
        <v>14336.391563618601</v>
      </c>
      <c r="BI28" s="222">
        <f>($BG28*'Health - Emissions'!$C$40)+($BH28*'Health - Emissions'!$C$41)</f>
        <v>13958.450338404386</v>
      </c>
    </row>
    <row r="29" spans="2:61" ht="15" thickBot="1" x14ac:dyDescent="0.35">
      <c r="B29" s="77" t="s">
        <v>86</v>
      </c>
      <c r="C29" s="59">
        <v>224.6076282153652</v>
      </c>
      <c r="E29" t="s">
        <v>201</v>
      </c>
      <c r="AP29" s="144">
        <f>SUM(AP9:AP28)</f>
        <v>1082332.9200770466</v>
      </c>
      <c r="AQ29" s="144">
        <f t="shared" ref="AQ29:BD29" si="50">SUM(AQ9:AQ28)</f>
        <v>267441.84841307194</v>
      </c>
      <c r="AR29" s="144">
        <f t="shared" si="50"/>
        <v>48738.13399449495</v>
      </c>
      <c r="AS29" s="144">
        <f t="shared" si="50"/>
        <v>37037.81702306668</v>
      </c>
      <c r="AT29" s="144">
        <f t="shared" si="50"/>
        <v>13641.379217844476</v>
      </c>
      <c r="AU29" s="144">
        <f t="shared" si="50"/>
        <v>11604.935241410512</v>
      </c>
      <c r="AV29" s="144">
        <f t="shared" si="50"/>
        <v>5994.4123768364016</v>
      </c>
      <c r="AW29" s="144">
        <f t="shared" si="50"/>
        <v>264401.31572840462</v>
      </c>
      <c r="AX29" s="144">
        <f t="shared" si="50"/>
        <v>96555.043488320473</v>
      </c>
      <c r="AY29" s="144">
        <f t="shared" si="50"/>
        <v>37705.418266912733</v>
      </c>
      <c r="AZ29" s="144">
        <f t="shared" si="50"/>
        <v>62312.824440094191</v>
      </c>
      <c r="BA29" s="144">
        <f t="shared" si="50"/>
        <v>9008.8505305121798</v>
      </c>
      <c r="BB29" s="144">
        <f t="shared" si="50"/>
        <v>42747.240619936892</v>
      </c>
      <c r="BC29" s="144">
        <f t="shared" si="50"/>
        <v>25469.30579376021</v>
      </c>
      <c r="BD29" s="144">
        <f t="shared" si="50"/>
        <v>77829.560665556055</v>
      </c>
      <c r="BE29" s="144">
        <f>SUM(BE9:BE28)</f>
        <v>81844.834276824491</v>
      </c>
      <c r="BF29" s="145">
        <f>SUM(BF9:BF28)</f>
        <v>150324.01667736759</v>
      </c>
      <c r="BG29" s="20"/>
      <c r="BH29" s="20"/>
      <c r="BI29" s="146"/>
    </row>
    <row r="30" spans="2:61" x14ac:dyDescent="0.3">
      <c r="B30" s="77" t="s">
        <v>87</v>
      </c>
      <c r="C30" s="59">
        <v>406.50631366900882</v>
      </c>
      <c r="E30" s="239" t="s">
        <v>464</v>
      </c>
      <c r="F30" s="239"/>
      <c r="G30" s="239"/>
      <c r="H30" s="239"/>
      <c r="I30" s="239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</row>
    <row r="31" spans="2:61" x14ac:dyDescent="0.3">
      <c r="B31" s="77" t="s">
        <v>88</v>
      </c>
      <c r="C31" s="59">
        <v>629.56186988597892</v>
      </c>
      <c r="E31" s="239"/>
      <c r="F31" s="239"/>
      <c r="G31" s="239"/>
      <c r="H31" s="239"/>
      <c r="I31" s="239"/>
      <c r="K31" t="s">
        <v>199</v>
      </c>
      <c r="AA31" s="61"/>
    </row>
    <row r="32" spans="2:61" x14ac:dyDescent="0.3">
      <c r="B32" s="77" t="s">
        <v>89</v>
      </c>
      <c r="C32" s="59">
        <v>47.764941058584235</v>
      </c>
      <c r="E32" s="239"/>
      <c r="F32" s="239"/>
      <c r="G32" s="239"/>
      <c r="H32" s="239"/>
      <c r="I32" s="239"/>
      <c r="K32" s="66">
        <v>7.1999999999999998E-3</v>
      </c>
      <c r="AA32" s="61"/>
      <c r="AB32" s="61"/>
    </row>
    <row r="33" spans="2:27" x14ac:dyDescent="0.3">
      <c r="B33" s="77" t="s">
        <v>90</v>
      </c>
      <c r="C33" s="59">
        <v>20.173970253250971</v>
      </c>
      <c r="E33" s="239"/>
      <c r="F33" s="239"/>
      <c r="G33" s="239"/>
      <c r="H33" s="239"/>
      <c r="I33" s="239"/>
      <c r="K33" t="s">
        <v>200</v>
      </c>
      <c r="AA33" s="61"/>
    </row>
    <row r="34" spans="2:27" x14ac:dyDescent="0.3">
      <c r="B34" s="77" t="s">
        <v>91</v>
      </c>
      <c r="C34" s="59">
        <v>8.7647398398929734</v>
      </c>
      <c r="E34" s="239"/>
      <c r="F34" s="239"/>
      <c r="G34" s="239"/>
      <c r="H34" s="239"/>
      <c r="I34" s="239"/>
      <c r="K34" s="66">
        <v>3.1899999999999998E-2</v>
      </c>
      <c r="AA34" s="61"/>
    </row>
    <row r="35" spans="2:27" x14ac:dyDescent="0.3">
      <c r="B35" s="77" t="s">
        <v>92</v>
      </c>
      <c r="C35" s="59">
        <v>1.9484281115559261</v>
      </c>
      <c r="E35" s="239"/>
      <c r="F35" s="239"/>
      <c r="G35" s="239"/>
      <c r="H35" s="239"/>
      <c r="I35" s="239"/>
      <c r="K35" t="s">
        <v>202</v>
      </c>
      <c r="Q35" s="68"/>
      <c r="AA35" s="61"/>
    </row>
    <row r="36" spans="2:27" ht="15" thickBot="1" x14ac:dyDescent="0.35">
      <c r="B36" s="77" t="s">
        <v>93</v>
      </c>
      <c r="C36" s="59">
        <v>14.366480331229781</v>
      </c>
      <c r="E36" s="239"/>
      <c r="F36" s="239"/>
      <c r="G36" s="239"/>
      <c r="H36" s="239"/>
      <c r="I36" s="239"/>
      <c r="K36" s="67">
        <v>7.2</v>
      </c>
      <c r="AA36" s="61"/>
    </row>
    <row r="37" spans="2:27" ht="15" thickBot="1" x14ac:dyDescent="0.35">
      <c r="B37" s="233" t="s">
        <v>41</v>
      </c>
      <c r="C37" s="234"/>
      <c r="AA37" s="61"/>
    </row>
    <row r="38" spans="2:27" x14ac:dyDescent="0.3">
      <c r="B38" s="77" t="s">
        <v>209</v>
      </c>
      <c r="C38" s="59">
        <v>47.2490003399909</v>
      </c>
      <c r="AA38" s="61"/>
    </row>
    <row r="39" spans="2:27" ht="15" customHeight="1" x14ac:dyDescent="0.3">
      <c r="B39" s="77" t="s">
        <v>210</v>
      </c>
      <c r="C39" s="59">
        <v>25.6207183511968</v>
      </c>
      <c r="AA39" s="61"/>
    </row>
    <row r="40" spans="2:27" x14ac:dyDescent="0.3">
      <c r="B40" s="77" t="s">
        <v>211</v>
      </c>
      <c r="C40" s="59">
        <v>18.675178200916999</v>
      </c>
      <c r="AA40" s="61"/>
    </row>
    <row r="41" spans="2:27" x14ac:dyDescent="0.3">
      <c r="B41" s="77" t="s">
        <v>212</v>
      </c>
      <c r="C41" s="59">
        <v>18.729874636141499</v>
      </c>
      <c r="AA41" s="61"/>
    </row>
    <row r="42" spans="2:27" x14ac:dyDescent="0.3">
      <c r="B42" s="77" t="s">
        <v>213</v>
      </c>
      <c r="C42" s="59">
        <v>22.570347836886299</v>
      </c>
      <c r="AA42" s="61"/>
    </row>
    <row r="43" spans="2:27" ht="15" thickBot="1" x14ac:dyDescent="0.35">
      <c r="B43" s="77" t="s">
        <v>214</v>
      </c>
      <c r="C43" s="59">
        <v>14.8216411421463</v>
      </c>
      <c r="AA43" s="61"/>
    </row>
    <row r="44" spans="2:27" ht="15" thickBot="1" x14ac:dyDescent="0.35">
      <c r="B44" s="233" t="s">
        <v>42</v>
      </c>
      <c r="C44" s="234"/>
      <c r="AA44" s="61"/>
    </row>
    <row r="45" spans="2:27" x14ac:dyDescent="0.3">
      <c r="B45" s="77" t="s">
        <v>215</v>
      </c>
      <c r="C45" s="59">
        <v>64.0649326173601</v>
      </c>
      <c r="AA45" s="61"/>
    </row>
    <row r="46" spans="2:27" x14ac:dyDescent="0.3">
      <c r="B46" s="77" t="s">
        <v>216</v>
      </c>
      <c r="C46" s="59">
        <v>56.767226853397297</v>
      </c>
      <c r="AA46" s="61"/>
    </row>
    <row r="47" spans="2:27" x14ac:dyDescent="0.3">
      <c r="B47" s="77" t="s">
        <v>217</v>
      </c>
      <c r="C47" s="59">
        <v>70.301219299970995</v>
      </c>
      <c r="AA47" s="61"/>
    </row>
    <row r="48" spans="2:27" x14ac:dyDescent="0.3">
      <c r="B48" s="77" t="s">
        <v>218</v>
      </c>
      <c r="C48" s="59">
        <v>211.627260330252</v>
      </c>
      <c r="AA48" s="61"/>
    </row>
    <row r="49" spans="2:27" x14ac:dyDescent="0.3">
      <c r="B49" s="77" t="s">
        <v>219</v>
      </c>
      <c r="C49" s="59">
        <v>85.600954189425707</v>
      </c>
      <c r="AA49" s="61"/>
    </row>
    <row r="50" spans="2:27" x14ac:dyDescent="0.3">
      <c r="B50" s="77" t="s">
        <v>220</v>
      </c>
      <c r="C50" s="59">
        <v>67.765901831973494</v>
      </c>
      <c r="AA50" s="61"/>
    </row>
    <row r="51" spans="2:27" x14ac:dyDescent="0.3">
      <c r="B51" s="77" t="s">
        <v>221</v>
      </c>
      <c r="C51" s="59">
        <v>205.92123045488501</v>
      </c>
      <c r="AA51" s="61"/>
    </row>
    <row r="52" spans="2:27" x14ac:dyDescent="0.3">
      <c r="B52" s="77" t="s">
        <v>222</v>
      </c>
      <c r="C52" s="59">
        <v>104.44689413219599</v>
      </c>
      <c r="AA52" s="61"/>
    </row>
    <row r="53" spans="2:27" x14ac:dyDescent="0.3">
      <c r="B53" s="77" t="s">
        <v>223</v>
      </c>
      <c r="C53" s="59">
        <v>76.519118257253794</v>
      </c>
      <c r="AA53" s="61"/>
    </row>
    <row r="54" spans="2:27" x14ac:dyDescent="0.3">
      <c r="B54" s="77" t="s">
        <v>224</v>
      </c>
      <c r="C54" s="59">
        <v>99.407385253050094</v>
      </c>
      <c r="AA54" s="61"/>
    </row>
    <row r="55" spans="2:27" x14ac:dyDescent="0.3">
      <c r="B55" s="77" t="s">
        <v>225</v>
      </c>
      <c r="C55" s="59">
        <v>99.611681836118905</v>
      </c>
      <c r="AA55" s="61"/>
    </row>
    <row r="56" spans="2:27" x14ac:dyDescent="0.3">
      <c r="B56" s="77" t="s">
        <v>226</v>
      </c>
      <c r="C56" s="59">
        <v>97.164066708464702</v>
      </c>
      <c r="AA56" s="61"/>
    </row>
    <row r="57" spans="2:27" x14ac:dyDescent="0.3">
      <c r="B57" s="77" t="s">
        <v>227</v>
      </c>
      <c r="C57" s="59">
        <v>112.180118547313</v>
      </c>
      <c r="AA57" s="61"/>
    </row>
    <row r="58" spans="2:27" x14ac:dyDescent="0.3">
      <c r="B58" s="77" t="s">
        <v>228</v>
      </c>
      <c r="C58" s="59">
        <v>113.158708678029</v>
      </c>
      <c r="AA58" s="61"/>
    </row>
    <row r="59" spans="2:27" x14ac:dyDescent="0.3">
      <c r="B59" s="77" t="s">
        <v>229</v>
      </c>
      <c r="C59" s="59">
        <v>31.2812536615425</v>
      </c>
      <c r="AA59" s="61"/>
    </row>
    <row r="60" spans="2:27" ht="15" thickBot="1" x14ac:dyDescent="0.35">
      <c r="B60" s="77" t="s">
        <v>230</v>
      </c>
      <c r="C60" s="59">
        <v>86.844611709141006</v>
      </c>
      <c r="AA60" s="61"/>
    </row>
    <row r="61" spans="2:27" ht="15" thickBot="1" x14ac:dyDescent="0.35">
      <c r="B61" s="233" t="s">
        <v>43</v>
      </c>
      <c r="C61" s="234"/>
      <c r="AA61" s="61"/>
    </row>
    <row r="62" spans="2:27" x14ac:dyDescent="0.3">
      <c r="B62" s="77" t="s">
        <v>231</v>
      </c>
      <c r="C62" s="59">
        <v>11.518877559965301</v>
      </c>
      <c r="AA62" s="61"/>
    </row>
    <row r="63" spans="2:27" x14ac:dyDescent="0.3">
      <c r="B63" s="77" t="s">
        <v>232</v>
      </c>
      <c r="C63" s="59">
        <v>108.61353684070799</v>
      </c>
      <c r="AA63" s="61"/>
    </row>
    <row r="64" spans="2:27" x14ac:dyDescent="0.3">
      <c r="B64" s="77" t="s">
        <v>233</v>
      </c>
      <c r="C64" s="59">
        <v>106.441338211084</v>
      </c>
      <c r="AA64" s="61"/>
    </row>
    <row r="65" spans="2:27" x14ac:dyDescent="0.3">
      <c r="B65" s="77" t="s">
        <v>234</v>
      </c>
      <c r="C65" s="59">
        <v>105.798264499859</v>
      </c>
      <c r="AA65" s="61"/>
    </row>
    <row r="66" spans="2:27" x14ac:dyDescent="0.3">
      <c r="B66" s="77" t="s">
        <v>235</v>
      </c>
      <c r="C66" s="59">
        <v>96.077422829984798</v>
      </c>
      <c r="AA66" s="61"/>
    </row>
    <row r="67" spans="2:27" x14ac:dyDescent="0.3">
      <c r="B67" s="77" t="s">
        <v>236</v>
      </c>
      <c r="C67" s="59">
        <v>161.40072909675999</v>
      </c>
      <c r="AA67" s="61"/>
    </row>
    <row r="68" spans="2:27" x14ac:dyDescent="0.3">
      <c r="B68" s="77" t="s">
        <v>237</v>
      </c>
      <c r="C68" s="59">
        <v>102.531617811731</v>
      </c>
      <c r="AA68" s="61"/>
    </row>
    <row r="69" spans="2:27" x14ac:dyDescent="0.3">
      <c r="B69" s="77" t="s">
        <v>238</v>
      </c>
      <c r="C69" s="59">
        <v>147.93166731720299</v>
      </c>
      <c r="AA69" s="61"/>
    </row>
    <row r="70" spans="2:27" x14ac:dyDescent="0.3">
      <c r="B70" s="77" t="s">
        <v>239</v>
      </c>
      <c r="C70" s="59">
        <v>181.05577422793101</v>
      </c>
      <c r="AA70" s="61"/>
    </row>
    <row r="71" spans="2:27" x14ac:dyDescent="0.3">
      <c r="B71" s="77" t="s">
        <v>240</v>
      </c>
      <c r="C71" s="59">
        <v>178.47914031178101</v>
      </c>
      <c r="AA71" s="61"/>
    </row>
    <row r="72" spans="2:27" x14ac:dyDescent="0.3">
      <c r="B72" s="77" t="s">
        <v>241</v>
      </c>
      <c r="C72" s="59">
        <v>195.580703144203</v>
      </c>
      <c r="AA72" s="61"/>
    </row>
    <row r="73" spans="2:27" x14ac:dyDescent="0.3">
      <c r="B73" s="77" t="s">
        <v>242</v>
      </c>
      <c r="C73" s="59">
        <v>185.57224067804799</v>
      </c>
      <c r="AA73" s="61"/>
    </row>
    <row r="74" spans="2:27" x14ac:dyDescent="0.3">
      <c r="B74" s="77" t="s">
        <v>243</v>
      </c>
      <c r="C74" s="59">
        <v>180.17186665991599</v>
      </c>
      <c r="AA74" s="61"/>
    </row>
    <row r="75" spans="2:27" x14ac:dyDescent="0.3">
      <c r="B75" s="77" t="s">
        <v>244</v>
      </c>
      <c r="C75" s="59">
        <v>191.449504584517</v>
      </c>
      <c r="AA75" s="61"/>
    </row>
    <row r="76" spans="2:27" x14ac:dyDescent="0.3">
      <c r="B76" s="77" t="s">
        <v>245</v>
      </c>
      <c r="C76" s="59">
        <v>140.05254160327101</v>
      </c>
      <c r="AA76" s="61"/>
    </row>
    <row r="77" spans="2:27" x14ac:dyDescent="0.3">
      <c r="B77" s="77" t="s">
        <v>246</v>
      </c>
      <c r="C77" s="59">
        <v>190.608175584576</v>
      </c>
      <c r="AA77" s="61"/>
    </row>
    <row r="78" spans="2:27" x14ac:dyDescent="0.3">
      <c r="B78" s="77" t="s">
        <v>247</v>
      </c>
      <c r="C78" s="59">
        <v>93.157860241706103</v>
      </c>
      <c r="AA78" s="61"/>
    </row>
    <row r="79" spans="2:27" x14ac:dyDescent="0.3">
      <c r="B79" s="77" t="s">
        <v>248</v>
      </c>
      <c r="C79" s="59">
        <v>221.96412592252301</v>
      </c>
      <c r="AA79" s="61"/>
    </row>
    <row r="80" spans="2:27" x14ac:dyDescent="0.3">
      <c r="B80" s="77" t="s">
        <v>249</v>
      </c>
      <c r="C80" s="59">
        <v>407.36705972935198</v>
      </c>
      <c r="AA80" s="61"/>
    </row>
    <row r="81" spans="2:27" x14ac:dyDescent="0.3">
      <c r="B81" s="77" t="s">
        <v>250</v>
      </c>
      <c r="C81" s="59">
        <v>68.056065709298906</v>
      </c>
      <c r="AA81" s="61"/>
    </row>
    <row r="82" spans="2:27" x14ac:dyDescent="0.3">
      <c r="B82" s="77" t="s">
        <v>251</v>
      </c>
      <c r="C82" s="59">
        <v>49.732820772325198</v>
      </c>
      <c r="AA82" s="61"/>
    </row>
    <row r="83" spans="2:27" x14ac:dyDescent="0.3">
      <c r="B83" s="77" t="s">
        <v>252</v>
      </c>
      <c r="C83" s="59">
        <v>233.48324321955201</v>
      </c>
      <c r="AA83" s="61"/>
    </row>
    <row r="84" spans="2:27" x14ac:dyDescent="0.3">
      <c r="B84" s="77" t="s">
        <v>253</v>
      </c>
      <c r="C84" s="59">
        <v>130.482063680529</v>
      </c>
      <c r="AA84" s="61"/>
    </row>
    <row r="85" spans="2:27" x14ac:dyDescent="0.3">
      <c r="B85" s="77" t="s">
        <v>254</v>
      </c>
      <c r="C85" s="59">
        <v>414.715566334936</v>
      </c>
      <c r="AA85" s="61"/>
    </row>
    <row r="86" spans="2:27" x14ac:dyDescent="0.3">
      <c r="B86" s="77" t="s">
        <v>255</v>
      </c>
      <c r="C86" s="59">
        <v>76.492138989816297</v>
      </c>
      <c r="AA86" s="61"/>
    </row>
    <row r="87" spans="2:27" x14ac:dyDescent="0.3">
      <c r="B87" s="77" t="s">
        <v>256</v>
      </c>
      <c r="C87" s="59">
        <v>287.64858211004298</v>
      </c>
      <c r="AA87" s="61"/>
    </row>
    <row r="88" spans="2:27" x14ac:dyDescent="0.3">
      <c r="B88" s="77" t="s">
        <v>257</v>
      </c>
      <c r="C88" s="59">
        <v>53.151742372830299</v>
      </c>
      <c r="AA88" s="61"/>
    </row>
    <row r="89" spans="2:27" x14ac:dyDescent="0.3">
      <c r="B89" s="77" t="s">
        <v>258</v>
      </c>
      <c r="C89" s="59">
        <v>6.5766170597825502</v>
      </c>
      <c r="AA89" s="61"/>
    </row>
    <row r="90" spans="2:27" x14ac:dyDescent="0.3">
      <c r="B90" s="77" t="s">
        <v>259</v>
      </c>
      <c r="C90" s="59">
        <v>50.231280116808797</v>
      </c>
    </row>
    <row r="91" spans="2:27" ht="15" thickBot="1" x14ac:dyDescent="0.35">
      <c r="B91" s="77" t="s">
        <v>260</v>
      </c>
      <c r="C91" s="59">
        <v>7.3766703753847098</v>
      </c>
    </row>
    <row r="92" spans="2:27" ht="15" thickBot="1" x14ac:dyDescent="0.35">
      <c r="B92" s="233" t="s">
        <v>44</v>
      </c>
      <c r="C92" s="234"/>
    </row>
    <row r="93" spans="2:27" x14ac:dyDescent="0.3">
      <c r="B93" s="77" t="s">
        <v>261</v>
      </c>
      <c r="C93" s="59">
        <v>19.656509418639398</v>
      </c>
    </row>
    <row r="94" spans="2:27" x14ac:dyDescent="0.3">
      <c r="B94" s="77" t="s">
        <v>262</v>
      </c>
      <c r="C94" s="59">
        <v>20.780441855938001</v>
      </c>
    </row>
    <row r="95" spans="2:27" x14ac:dyDescent="0.3">
      <c r="B95" s="77" t="s">
        <v>263</v>
      </c>
      <c r="C95" s="59">
        <v>23.0758351055125</v>
      </c>
    </row>
    <row r="96" spans="2:27" x14ac:dyDescent="0.3">
      <c r="B96" s="77" t="s">
        <v>264</v>
      </c>
      <c r="C96" s="59">
        <v>52.496193497095099</v>
      </c>
    </row>
    <row r="97" spans="2:3" x14ac:dyDescent="0.3">
      <c r="B97" s="77" t="s">
        <v>265</v>
      </c>
      <c r="C97" s="59">
        <v>73.328817486209203</v>
      </c>
    </row>
    <row r="98" spans="2:3" x14ac:dyDescent="0.3">
      <c r="B98" s="77" t="s">
        <v>266</v>
      </c>
      <c r="C98" s="59">
        <v>76.405216152834299</v>
      </c>
    </row>
    <row r="99" spans="2:3" x14ac:dyDescent="0.3">
      <c r="B99" s="77" t="s">
        <v>267</v>
      </c>
      <c r="C99" s="59">
        <v>47.923641377887101</v>
      </c>
    </row>
    <row r="100" spans="2:3" x14ac:dyDescent="0.3">
      <c r="B100" s="77" t="s">
        <v>268</v>
      </c>
      <c r="C100" s="59">
        <v>46.036193416764398</v>
      </c>
    </row>
    <row r="101" spans="2:3" x14ac:dyDescent="0.3">
      <c r="B101" s="77" t="s">
        <v>269</v>
      </c>
      <c r="C101" s="59">
        <v>43.929690366463497</v>
      </c>
    </row>
    <row r="102" spans="2:3" x14ac:dyDescent="0.3">
      <c r="B102" s="77" t="s">
        <v>270</v>
      </c>
      <c r="C102" s="59">
        <v>53.508649454139402</v>
      </c>
    </row>
    <row r="103" spans="2:3" x14ac:dyDescent="0.3">
      <c r="B103" s="77" t="s">
        <v>271</v>
      </c>
      <c r="C103" s="59">
        <v>41.897678270889699</v>
      </c>
    </row>
    <row r="104" spans="2:3" x14ac:dyDescent="0.3">
      <c r="B104" s="77" t="s">
        <v>272</v>
      </c>
      <c r="C104" s="59">
        <v>67.8627087707778</v>
      </c>
    </row>
    <row r="105" spans="2:3" x14ac:dyDescent="0.3">
      <c r="B105" s="77" t="s">
        <v>273</v>
      </c>
      <c r="C105" s="59">
        <v>102.726425724561</v>
      </c>
    </row>
    <row r="106" spans="2:3" x14ac:dyDescent="0.3">
      <c r="B106" s="77" t="s">
        <v>274</v>
      </c>
      <c r="C106" s="59">
        <v>99.904479121015896</v>
      </c>
    </row>
    <row r="107" spans="2:3" x14ac:dyDescent="0.3">
      <c r="B107" s="77" t="s">
        <v>275</v>
      </c>
      <c r="C107" s="59">
        <v>45.634804247628999</v>
      </c>
    </row>
    <row r="108" spans="2:3" x14ac:dyDescent="0.3">
      <c r="B108" s="77" t="s">
        <v>276</v>
      </c>
      <c r="C108" s="59">
        <v>46.463993954757697</v>
      </c>
    </row>
    <row r="109" spans="2:3" x14ac:dyDescent="0.3">
      <c r="B109" s="77" t="s">
        <v>277</v>
      </c>
      <c r="C109" s="59">
        <v>48.789249383645803</v>
      </c>
    </row>
    <row r="110" spans="2:3" x14ac:dyDescent="0.3">
      <c r="B110" s="77" t="s">
        <v>278</v>
      </c>
      <c r="C110" s="59">
        <v>70.116219064452096</v>
      </c>
    </row>
    <row r="111" spans="2:3" x14ac:dyDescent="0.3">
      <c r="B111" s="77" t="s">
        <v>279</v>
      </c>
      <c r="C111" s="59">
        <v>43.393592097413404</v>
      </c>
    </row>
    <row r="112" spans="2:3" x14ac:dyDescent="0.3">
      <c r="B112" s="77" t="s">
        <v>280</v>
      </c>
      <c r="C112" s="59">
        <v>23.926016698522499</v>
      </c>
    </row>
    <row r="113" spans="2:3" x14ac:dyDescent="0.3">
      <c r="B113" s="77" t="s">
        <v>281</v>
      </c>
      <c r="C113" s="59">
        <v>20.831448168091399</v>
      </c>
    </row>
    <row r="114" spans="2:3" x14ac:dyDescent="0.3">
      <c r="B114" s="77" t="s">
        <v>282</v>
      </c>
      <c r="C114" s="59">
        <v>77.023846039844301</v>
      </c>
    </row>
    <row r="115" spans="2:3" x14ac:dyDescent="0.3">
      <c r="B115" s="77" t="s">
        <v>283</v>
      </c>
      <c r="C115" s="59">
        <v>53.677465807975402</v>
      </c>
    </row>
    <row r="116" spans="2:3" x14ac:dyDescent="0.3">
      <c r="B116" s="77" t="s">
        <v>284</v>
      </c>
      <c r="C116" s="59">
        <v>32.877807176121003</v>
      </c>
    </row>
    <row r="117" spans="2:3" ht="15" thickBot="1" x14ac:dyDescent="0.35">
      <c r="B117" s="77" t="s">
        <v>285</v>
      </c>
      <c r="C117" s="59">
        <v>43.460658376844499</v>
      </c>
    </row>
    <row r="118" spans="2:3" ht="15" thickBot="1" x14ac:dyDescent="0.35">
      <c r="B118" s="233" t="s">
        <v>45</v>
      </c>
      <c r="C118" s="234"/>
    </row>
    <row r="119" spans="2:3" x14ac:dyDescent="0.3">
      <c r="B119" s="77" t="s">
        <v>286</v>
      </c>
      <c r="C119" s="59">
        <v>77.447448553228796</v>
      </c>
    </row>
    <row r="120" spans="2:3" x14ac:dyDescent="0.3">
      <c r="B120" s="77" t="s">
        <v>287</v>
      </c>
      <c r="C120" s="59">
        <v>51.7897975113519</v>
      </c>
    </row>
    <row r="121" spans="2:3" x14ac:dyDescent="0.3">
      <c r="B121" s="77" t="s">
        <v>288</v>
      </c>
      <c r="C121" s="59">
        <v>49.087339614749297</v>
      </c>
    </row>
    <row r="122" spans="2:3" x14ac:dyDescent="0.3">
      <c r="B122" s="77" t="s">
        <v>289</v>
      </c>
      <c r="C122" s="59">
        <v>61.167693988577597</v>
      </c>
    </row>
    <row r="123" spans="2:3" x14ac:dyDescent="0.3">
      <c r="B123" s="77" t="s">
        <v>290</v>
      </c>
      <c r="C123" s="59">
        <v>59.433795957849597</v>
      </c>
    </row>
    <row r="124" spans="2:3" x14ac:dyDescent="0.3">
      <c r="B124" s="77" t="s">
        <v>291</v>
      </c>
      <c r="C124" s="59">
        <v>39.587310729762599</v>
      </c>
    </row>
    <row r="125" spans="2:3" x14ac:dyDescent="0.3">
      <c r="B125" s="77" t="s">
        <v>292</v>
      </c>
      <c r="C125" s="59">
        <v>60.610349618970503</v>
      </c>
    </row>
    <row r="126" spans="2:3" x14ac:dyDescent="0.3">
      <c r="B126" s="77" t="s">
        <v>293</v>
      </c>
      <c r="C126" s="59">
        <v>48.271457862880901</v>
      </c>
    </row>
    <row r="127" spans="2:3" x14ac:dyDescent="0.3">
      <c r="B127" s="77" t="s">
        <v>294</v>
      </c>
      <c r="C127" s="59">
        <v>33.651721500528303</v>
      </c>
    </row>
    <row r="128" spans="2:3" x14ac:dyDescent="0.3">
      <c r="B128" s="77" t="s">
        <v>295</v>
      </c>
      <c r="C128" s="59">
        <v>295.53767350588203</v>
      </c>
    </row>
    <row r="129" spans="2:3" x14ac:dyDescent="0.3">
      <c r="B129" s="77" t="s">
        <v>296</v>
      </c>
      <c r="C129" s="59">
        <v>35.874687915697599</v>
      </c>
    </row>
    <row r="130" spans="2:3" x14ac:dyDescent="0.3">
      <c r="B130" s="77" t="s">
        <v>297</v>
      </c>
      <c r="C130" s="59">
        <v>65.696134778674505</v>
      </c>
    </row>
    <row r="131" spans="2:3" x14ac:dyDescent="0.3">
      <c r="B131" s="77" t="s">
        <v>298</v>
      </c>
      <c r="C131" s="59">
        <v>60.341796319071101</v>
      </c>
    </row>
    <row r="132" spans="2:3" x14ac:dyDescent="0.3">
      <c r="B132" s="77" t="s">
        <v>299</v>
      </c>
      <c r="C132" s="59">
        <v>51.748547723044602</v>
      </c>
    </row>
    <row r="133" spans="2:3" x14ac:dyDescent="0.3">
      <c r="B133" s="77" t="s">
        <v>300</v>
      </c>
      <c r="C133" s="59">
        <v>7.4150278035515598</v>
      </c>
    </row>
    <row r="134" spans="2:3" x14ac:dyDescent="0.3">
      <c r="B134" s="77" t="s">
        <v>301</v>
      </c>
      <c r="C134" s="59">
        <v>15.144429994770899</v>
      </c>
    </row>
    <row r="135" spans="2:3" ht="15" thickBot="1" x14ac:dyDescent="0.35">
      <c r="B135" s="77" t="s">
        <v>302</v>
      </c>
      <c r="C135" s="59">
        <v>8.5829084425799493</v>
      </c>
    </row>
    <row r="136" spans="2:3" ht="15" thickBot="1" x14ac:dyDescent="0.35">
      <c r="B136" s="233" t="s">
        <v>46</v>
      </c>
      <c r="C136" s="234"/>
    </row>
    <row r="137" spans="2:3" x14ac:dyDescent="0.3">
      <c r="B137" s="77" t="s">
        <v>303</v>
      </c>
      <c r="C137" s="59">
        <v>14.185246618428</v>
      </c>
    </row>
    <row r="138" spans="2:3" x14ac:dyDescent="0.3">
      <c r="B138" s="77" t="s">
        <v>304</v>
      </c>
      <c r="C138" s="59">
        <v>55.045433420949799</v>
      </c>
    </row>
    <row r="139" spans="2:3" x14ac:dyDescent="0.3">
      <c r="B139" s="77" t="s">
        <v>305</v>
      </c>
      <c r="C139" s="59">
        <v>52.526855059027298</v>
      </c>
    </row>
    <row r="140" spans="2:3" x14ac:dyDescent="0.3">
      <c r="B140" s="77" t="s">
        <v>306</v>
      </c>
      <c r="C140" s="59">
        <v>52.325978424299301</v>
      </c>
    </row>
    <row r="141" spans="2:3" x14ac:dyDescent="0.3">
      <c r="B141" s="77" t="s">
        <v>307</v>
      </c>
      <c r="C141" s="59">
        <v>51.530024017943802</v>
      </c>
    </row>
    <row r="142" spans="2:3" x14ac:dyDescent="0.3">
      <c r="B142" s="77" t="s">
        <v>308</v>
      </c>
      <c r="C142" s="59">
        <v>37.699410268958196</v>
      </c>
    </row>
    <row r="143" spans="2:3" x14ac:dyDescent="0.3">
      <c r="B143" s="77" t="s">
        <v>309</v>
      </c>
      <c r="C143" s="59">
        <v>35.956763605736398</v>
      </c>
    </row>
    <row r="144" spans="2:3" x14ac:dyDescent="0.3">
      <c r="B144" s="77" t="s">
        <v>310</v>
      </c>
      <c r="C144" s="59">
        <v>34.307366819702203</v>
      </c>
    </row>
    <row r="145" spans="2:3" x14ac:dyDescent="0.3">
      <c r="B145" s="77" t="s">
        <v>311</v>
      </c>
      <c r="C145" s="59">
        <v>52.558444687920101</v>
      </c>
    </row>
    <row r="146" spans="2:3" x14ac:dyDescent="0.3">
      <c r="B146" s="77" t="s">
        <v>312</v>
      </c>
      <c r="C146" s="59">
        <v>50.386671444772801</v>
      </c>
    </row>
    <row r="147" spans="2:3" x14ac:dyDescent="0.3">
      <c r="B147" s="77" t="s">
        <v>313</v>
      </c>
      <c r="C147" s="59">
        <v>49.782102528868698</v>
      </c>
    </row>
    <row r="148" spans="2:3" x14ac:dyDescent="0.3">
      <c r="B148" s="77" t="s">
        <v>314</v>
      </c>
      <c r="C148" s="59">
        <v>2.6870066076908201</v>
      </c>
    </row>
    <row r="149" spans="2:3" x14ac:dyDescent="0.3">
      <c r="B149" s="77" t="s">
        <v>315</v>
      </c>
      <c r="C149" s="59">
        <v>5.1004575464881903</v>
      </c>
    </row>
    <row r="150" spans="2:3" x14ac:dyDescent="0.3">
      <c r="B150" s="77" t="s">
        <v>316</v>
      </c>
      <c r="C150" s="59">
        <v>72.228946455544801</v>
      </c>
    </row>
    <row r="151" spans="2:3" ht="15" thickBot="1" x14ac:dyDescent="0.35">
      <c r="B151" s="77" t="s">
        <v>317</v>
      </c>
      <c r="C151" s="59">
        <v>51.7200680830979</v>
      </c>
    </row>
    <row r="152" spans="2:3" ht="15" thickBot="1" x14ac:dyDescent="0.35">
      <c r="B152" s="233" t="s">
        <v>47</v>
      </c>
      <c r="C152" s="234"/>
    </row>
    <row r="153" spans="2:3" x14ac:dyDescent="0.3">
      <c r="B153" s="77" t="s">
        <v>318</v>
      </c>
      <c r="C153" s="59">
        <v>27.8220611166645</v>
      </c>
    </row>
    <row r="154" spans="2:3" x14ac:dyDescent="0.3">
      <c r="B154" s="77" t="s">
        <v>319</v>
      </c>
      <c r="C154" s="59">
        <v>29.772969071856899</v>
      </c>
    </row>
    <row r="155" spans="2:3" x14ac:dyDescent="0.3">
      <c r="B155" s="77" t="s">
        <v>320</v>
      </c>
      <c r="C155" s="59">
        <v>30.448130082513099</v>
      </c>
    </row>
    <row r="156" spans="2:3" x14ac:dyDescent="0.3">
      <c r="B156" s="77" t="s">
        <v>321</v>
      </c>
      <c r="C156" s="59">
        <v>29.157126243895402</v>
      </c>
    </row>
    <row r="157" spans="2:3" x14ac:dyDescent="0.3">
      <c r="B157" s="77" t="s">
        <v>322</v>
      </c>
      <c r="C157" s="59">
        <v>19.6822820069697</v>
      </c>
    </row>
    <row r="158" spans="2:3" x14ac:dyDescent="0.3">
      <c r="B158" s="77" t="s">
        <v>323</v>
      </c>
      <c r="C158" s="59">
        <v>28.763417339507502</v>
      </c>
    </row>
    <row r="159" spans="2:3" x14ac:dyDescent="0.3">
      <c r="B159" s="77" t="s">
        <v>324</v>
      </c>
      <c r="C159" s="59">
        <v>30.8695757200706</v>
      </c>
    </row>
    <row r="160" spans="2:3" x14ac:dyDescent="0.3">
      <c r="B160" s="77" t="s">
        <v>325</v>
      </c>
      <c r="C160" s="59">
        <v>28.129003628694502</v>
      </c>
    </row>
    <row r="161" spans="2:3" x14ac:dyDescent="0.3">
      <c r="B161" s="77" t="s">
        <v>326</v>
      </c>
      <c r="C161" s="59">
        <v>37.338790443792099</v>
      </c>
    </row>
    <row r="162" spans="2:3" x14ac:dyDescent="0.3">
      <c r="B162" s="77" t="s">
        <v>327</v>
      </c>
      <c r="C162" s="59">
        <v>28.0276528657737</v>
      </c>
    </row>
    <row r="163" spans="2:3" x14ac:dyDescent="0.3">
      <c r="B163" s="77" t="s">
        <v>328</v>
      </c>
      <c r="C163" s="59">
        <v>29.601833126379301</v>
      </c>
    </row>
    <row r="164" spans="2:3" x14ac:dyDescent="0.3">
      <c r="B164" s="77" t="s">
        <v>329</v>
      </c>
      <c r="C164" s="59">
        <v>34.826099109666004</v>
      </c>
    </row>
    <row r="165" spans="2:3" x14ac:dyDescent="0.3">
      <c r="B165" s="77" t="s">
        <v>330</v>
      </c>
      <c r="C165" s="59">
        <v>26.3037779894821</v>
      </c>
    </row>
    <row r="166" spans="2:3" x14ac:dyDescent="0.3">
      <c r="B166" s="77" t="s">
        <v>331</v>
      </c>
      <c r="C166" s="59">
        <v>35.837183230721998</v>
      </c>
    </row>
    <row r="167" spans="2:3" x14ac:dyDescent="0.3">
      <c r="B167" s="77" t="s">
        <v>332</v>
      </c>
      <c r="C167" s="59">
        <v>103.031593178829</v>
      </c>
    </row>
    <row r="168" spans="2:3" x14ac:dyDescent="0.3">
      <c r="B168" s="77" t="s">
        <v>333</v>
      </c>
      <c r="C168" s="59">
        <v>30.9943688329626</v>
      </c>
    </row>
    <row r="169" spans="2:3" x14ac:dyDescent="0.3">
      <c r="B169" s="77" t="s">
        <v>334</v>
      </c>
      <c r="C169" s="59">
        <v>30.410512770757698</v>
      </c>
    </row>
    <row r="170" spans="2:3" x14ac:dyDescent="0.3">
      <c r="B170" s="77" t="s">
        <v>335</v>
      </c>
      <c r="C170" s="59">
        <v>18.820547331414701</v>
      </c>
    </row>
    <row r="171" spans="2:3" ht="15" thickBot="1" x14ac:dyDescent="0.35">
      <c r="B171" s="77" t="s">
        <v>336</v>
      </c>
      <c r="C171" s="59">
        <v>7.2610000607177403</v>
      </c>
    </row>
    <row r="172" spans="2:3" ht="15" thickBot="1" x14ac:dyDescent="0.35">
      <c r="B172" s="233" t="s">
        <v>48</v>
      </c>
      <c r="C172" s="234"/>
    </row>
    <row r="173" spans="2:3" x14ac:dyDescent="0.3">
      <c r="B173" s="77" t="s">
        <v>337</v>
      </c>
      <c r="C173" s="59">
        <v>24.907619068431899</v>
      </c>
    </row>
    <row r="174" spans="2:3" x14ac:dyDescent="0.3">
      <c r="B174" s="77" t="s">
        <v>338</v>
      </c>
      <c r="C174" s="59">
        <v>64.271554573804295</v>
      </c>
    </row>
    <row r="175" spans="2:3" x14ac:dyDescent="0.3">
      <c r="B175" s="77" t="s">
        <v>339</v>
      </c>
      <c r="C175" s="59">
        <v>85.438257587297201</v>
      </c>
    </row>
    <row r="176" spans="2:3" x14ac:dyDescent="0.3">
      <c r="B176" s="77" t="s">
        <v>340</v>
      </c>
      <c r="C176" s="59">
        <v>61.390498108201697</v>
      </c>
    </row>
    <row r="177" spans="2:3" x14ac:dyDescent="0.3">
      <c r="B177" s="77" t="s">
        <v>341</v>
      </c>
      <c r="C177" s="59">
        <v>24.287409818226202</v>
      </c>
    </row>
    <row r="178" spans="2:3" x14ac:dyDescent="0.3">
      <c r="B178" s="77" t="s">
        <v>342</v>
      </c>
      <c r="C178" s="59">
        <v>21.278415184855199</v>
      </c>
    </row>
    <row r="179" spans="2:3" x14ac:dyDescent="0.3">
      <c r="B179" s="77" t="s">
        <v>343</v>
      </c>
      <c r="C179" s="59">
        <v>230.538140361941</v>
      </c>
    </row>
    <row r="180" spans="2:3" x14ac:dyDescent="0.3">
      <c r="B180" s="77" t="s">
        <v>344</v>
      </c>
      <c r="C180" s="59">
        <v>38.610718149053497</v>
      </c>
    </row>
    <row r="181" spans="2:3" x14ac:dyDescent="0.3">
      <c r="B181" s="77" t="s">
        <v>345</v>
      </c>
      <c r="C181" s="59">
        <v>52.389926250443601</v>
      </c>
    </row>
    <row r="182" spans="2:3" x14ac:dyDescent="0.3">
      <c r="B182" s="77" t="s">
        <v>346</v>
      </c>
      <c r="C182" s="59">
        <v>86.5694868865111</v>
      </c>
    </row>
    <row r="183" spans="2:3" ht="15" thickBot="1" x14ac:dyDescent="0.35">
      <c r="B183" s="77" t="s">
        <v>347</v>
      </c>
      <c r="C183" s="59">
        <v>11.000766071318701</v>
      </c>
    </row>
    <row r="184" spans="2:3" ht="15" thickBot="1" x14ac:dyDescent="0.35">
      <c r="B184" s="233" t="s">
        <v>49</v>
      </c>
      <c r="C184" s="234"/>
    </row>
    <row r="185" spans="2:3" x14ac:dyDescent="0.3">
      <c r="B185" s="77" t="s">
        <v>348</v>
      </c>
      <c r="C185" s="59">
        <v>58.818595874514699</v>
      </c>
    </row>
    <row r="186" spans="2:3" x14ac:dyDescent="0.3">
      <c r="B186" s="77" t="s">
        <v>349</v>
      </c>
      <c r="C186" s="59">
        <v>14.0947615238395</v>
      </c>
    </row>
    <row r="187" spans="2:3" x14ac:dyDescent="0.3">
      <c r="B187" s="77" t="s">
        <v>350</v>
      </c>
      <c r="C187" s="59">
        <v>56.433172997827597</v>
      </c>
    </row>
    <row r="188" spans="2:3" x14ac:dyDescent="0.3">
      <c r="B188" s="77" t="s">
        <v>351</v>
      </c>
      <c r="C188" s="59">
        <v>164.453531990215</v>
      </c>
    </row>
    <row r="189" spans="2:3" x14ac:dyDescent="0.3">
      <c r="B189" s="77" t="s">
        <v>352</v>
      </c>
      <c r="C189" s="59">
        <v>91.251034975362302</v>
      </c>
    </row>
    <row r="190" spans="2:3" x14ac:dyDescent="0.3">
      <c r="B190" s="77" t="s">
        <v>353</v>
      </c>
      <c r="C190" s="59">
        <v>97.281590523936501</v>
      </c>
    </row>
    <row r="191" spans="2:3" x14ac:dyDescent="0.3">
      <c r="B191" s="77" t="s">
        <v>354</v>
      </c>
      <c r="C191" s="59">
        <v>60.996349122559103</v>
      </c>
    </row>
    <row r="192" spans="2:3" x14ac:dyDescent="0.3">
      <c r="B192" s="77" t="s">
        <v>355</v>
      </c>
      <c r="C192" s="59">
        <v>69.814420746446004</v>
      </c>
    </row>
    <row r="193" spans="2:3" x14ac:dyDescent="0.3">
      <c r="B193" s="77" t="s">
        <v>356</v>
      </c>
      <c r="C193" s="59">
        <v>79.385317803499007</v>
      </c>
    </row>
    <row r="194" spans="2:3" x14ac:dyDescent="0.3">
      <c r="B194" s="77" t="s">
        <v>357</v>
      </c>
      <c r="C194" s="59">
        <v>81.474969012064193</v>
      </c>
    </row>
    <row r="195" spans="2:3" x14ac:dyDescent="0.3">
      <c r="B195" s="77" t="s">
        <v>358</v>
      </c>
      <c r="C195" s="59">
        <v>63.1194294756937</v>
      </c>
    </row>
    <row r="196" spans="2:3" x14ac:dyDescent="0.3">
      <c r="B196" s="77" t="s">
        <v>359</v>
      </c>
      <c r="C196" s="59">
        <v>60.937043504871198</v>
      </c>
    </row>
    <row r="197" spans="2:3" x14ac:dyDescent="0.3">
      <c r="B197" s="77" t="s">
        <v>360</v>
      </c>
      <c r="C197" s="59">
        <v>89.639564988073701</v>
      </c>
    </row>
    <row r="198" spans="2:3" x14ac:dyDescent="0.3">
      <c r="B198" s="77" t="s">
        <v>361</v>
      </c>
      <c r="C198" s="59">
        <v>51.242270803161297</v>
      </c>
    </row>
    <row r="199" spans="2:3" x14ac:dyDescent="0.3">
      <c r="B199" s="77" t="s">
        <v>362</v>
      </c>
      <c r="C199" s="59">
        <v>56.271516204312498</v>
      </c>
    </row>
    <row r="200" spans="2:3" x14ac:dyDescent="0.3">
      <c r="B200" s="77" t="s">
        <v>363</v>
      </c>
      <c r="C200" s="59">
        <v>53.181725303367003</v>
      </c>
    </row>
    <row r="201" spans="2:3" x14ac:dyDescent="0.3">
      <c r="B201" s="77" t="s">
        <v>364</v>
      </c>
      <c r="C201" s="59">
        <v>57.708697049865101</v>
      </c>
    </row>
    <row r="202" spans="2:3" x14ac:dyDescent="0.3">
      <c r="B202" s="77" t="s">
        <v>365</v>
      </c>
      <c r="C202" s="59">
        <v>40.172335172617998</v>
      </c>
    </row>
    <row r="203" spans="2:3" x14ac:dyDescent="0.3">
      <c r="B203" s="77" t="s">
        <v>366</v>
      </c>
      <c r="C203" s="59">
        <v>10.787696955455001</v>
      </c>
    </row>
    <row r="204" spans="2:3" x14ac:dyDescent="0.3">
      <c r="B204" s="77" t="s">
        <v>367</v>
      </c>
      <c r="C204" s="59">
        <v>20.504793266434401</v>
      </c>
    </row>
    <row r="205" spans="2:3" x14ac:dyDescent="0.3">
      <c r="B205" s="77" t="s">
        <v>368</v>
      </c>
      <c r="C205" s="59">
        <v>21.552482399999999</v>
      </c>
    </row>
    <row r="206" spans="2:3" x14ac:dyDescent="0.3">
      <c r="B206" s="77" t="s">
        <v>369</v>
      </c>
      <c r="C206" s="59">
        <v>30.3447207353491</v>
      </c>
    </row>
    <row r="207" spans="2:3" ht="15" thickBot="1" x14ac:dyDescent="0.35">
      <c r="B207" s="77" t="s">
        <v>370</v>
      </c>
      <c r="C207" s="59">
        <v>12.0771099599619</v>
      </c>
    </row>
    <row r="208" spans="2:3" ht="15" thickBot="1" x14ac:dyDescent="0.35">
      <c r="B208" s="233" t="s">
        <v>50</v>
      </c>
      <c r="C208" s="234"/>
    </row>
    <row r="209" spans="2:3" x14ac:dyDescent="0.3">
      <c r="B209" s="77" t="s">
        <v>371</v>
      </c>
      <c r="C209" s="59">
        <v>19.223020529559999</v>
      </c>
    </row>
    <row r="210" spans="2:3" x14ac:dyDescent="0.3">
      <c r="B210" s="77" t="s">
        <v>372</v>
      </c>
      <c r="C210" s="59">
        <v>21.847304495128199</v>
      </c>
    </row>
    <row r="211" spans="2:3" x14ac:dyDescent="0.3">
      <c r="B211" s="77" t="s">
        <v>373</v>
      </c>
      <c r="C211" s="59">
        <v>25.980135451296999</v>
      </c>
    </row>
    <row r="212" spans="2:3" x14ac:dyDescent="0.3">
      <c r="B212" s="77" t="s">
        <v>374</v>
      </c>
      <c r="C212" s="59">
        <v>20.161446672977899</v>
      </c>
    </row>
    <row r="213" spans="2:3" x14ac:dyDescent="0.3">
      <c r="B213" s="77" t="s">
        <v>375</v>
      </c>
      <c r="C213" s="59">
        <v>58.798345127532002</v>
      </c>
    </row>
    <row r="214" spans="2:3" x14ac:dyDescent="0.3">
      <c r="B214" s="77" t="s">
        <v>376</v>
      </c>
      <c r="C214" s="59">
        <v>15.0588914699375</v>
      </c>
    </row>
    <row r="215" spans="2:3" ht="15" thickBot="1" x14ac:dyDescent="0.35">
      <c r="B215" s="77" t="s">
        <v>377</v>
      </c>
      <c r="C215" s="59">
        <v>62.530778477594701</v>
      </c>
    </row>
    <row r="216" spans="2:3" ht="15" thickBot="1" x14ac:dyDescent="0.35">
      <c r="B216" s="233" t="s">
        <v>51</v>
      </c>
      <c r="C216" s="234"/>
    </row>
    <row r="217" spans="2:3" x14ac:dyDescent="0.3">
      <c r="B217" s="77" t="s">
        <v>378</v>
      </c>
      <c r="C217" s="59">
        <v>53.037638270717203</v>
      </c>
    </row>
    <row r="218" spans="2:3" x14ac:dyDescent="0.3">
      <c r="B218" s="77" t="s">
        <v>379</v>
      </c>
      <c r="C218" s="59">
        <v>41.606113205472298</v>
      </c>
    </row>
    <row r="219" spans="2:3" x14ac:dyDescent="0.3">
      <c r="B219" s="77" t="s">
        <v>380</v>
      </c>
      <c r="C219" s="59">
        <v>23.287196936202999</v>
      </c>
    </row>
    <row r="220" spans="2:3" x14ac:dyDescent="0.3">
      <c r="B220" s="77" t="s">
        <v>381</v>
      </c>
      <c r="C220" s="59">
        <v>37.661548786597798</v>
      </c>
    </row>
    <row r="221" spans="2:3" x14ac:dyDescent="0.3">
      <c r="B221" s="77" t="s">
        <v>382</v>
      </c>
      <c r="C221" s="59">
        <v>31.182712149028099</v>
      </c>
    </row>
    <row r="222" spans="2:3" x14ac:dyDescent="0.3">
      <c r="B222" s="77" t="s">
        <v>383</v>
      </c>
      <c r="C222" s="59">
        <v>17.960518610451501</v>
      </c>
    </row>
    <row r="223" spans="2:3" x14ac:dyDescent="0.3">
      <c r="B223" s="77" t="s">
        <v>384</v>
      </c>
      <c r="C223" s="59">
        <v>51.973486326705199</v>
      </c>
    </row>
    <row r="224" spans="2:3" x14ac:dyDescent="0.3">
      <c r="B224" s="77" t="s">
        <v>385</v>
      </c>
      <c r="C224" s="59">
        <v>42.635652640866802</v>
      </c>
    </row>
    <row r="225" spans="2:3" x14ac:dyDescent="0.3">
      <c r="B225" s="77" t="s">
        <v>386</v>
      </c>
      <c r="C225" s="59">
        <v>51.0036093443561</v>
      </c>
    </row>
    <row r="226" spans="2:3" x14ac:dyDescent="0.3">
      <c r="B226" s="77" t="s">
        <v>387</v>
      </c>
      <c r="C226" s="59">
        <v>16.520631189072201</v>
      </c>
    </row>
    <row r="227" spans="2:3" x14ac:dyDescent="0.3">
      <c r="B227" s="77" t="s">
        <v>388</v>
      </c>
      <c r="C227" s="59">
        <v>8.8770462899119398</v>
      </c>
    </row>
    <row r="228" spans="2:3" x14ac:dyDescent="0.3">
      <c r="B228" s="77" t="s">
        <v>389</v>
      </c>
      <c r="C228" s="59">
        <v>35.643393675787301</v>
      </c>
    </row>
    <row r="229" spans="2:3" ht="15" thickBot="1" x14ac:dyDescent="0.35">
      <c r="B229" s="77" t="s">
        <v>390</v>
      </c>
      <c r="C229" s="59">
        <v>6.0854529864548397</v>
      </c>
    </row>
    <row r="230" spans="2:3" ht="15" thickBot="1" x14ac:dyDescent="0.35">
      <c r="B230" s="233" t="s">
        <v>52</v>
      </c>
      <c r="C230" s="234"/>
    </row>
    <row r="231" spans="2:3" x14ac:dyDescent="0.3">
      <c r="B231" s="77" t="s">
        <v>391</v>
      </c>
      <c r="C231" s="59">
        <v>48.952155923514397</v>
      </c>
    </row>
    <row r="232" spans="2:3" x14ac:dyDescent="0.3">
      <c r="B232" s="77" t="s">
        <v>392</v>
      </c>
      <c r="C232" s="59">
        <v>20.147541554882402</v>
      </c>
    </row>
    <row r="233" spans="2:3" x14ac:dyDescent="0.3">
      <c r="B233" s="77" t="s">
        <v>393</v>
      </c>
      <c r="C233" s="59">
        <v>21.270011736661001</v>
      </c>
    </row>
    <row r="234" spans="2:3" x14ac:dyDescent="0.3">
      <c r="B234" s="77" t="s">
        <v>394</v>
      </c>
      <c r="C234" s="59">
        <v>15.722523169730099</v>
      </c>
    </row>
    <row r="235" spans="2:3" x14ac:dyDescent="0.3">
      <c r="B235" s="77" t="s">
        <v>395</v>
      </c>
      <c r="C235" s="59">
        <v>6.3311936414674799</v>
      </c>
    </row>
    <row r="236" spans="2:3" x14ac:dyDescent="0.3">
      <c r="B236" s="77" t="s">
        <v>396</v>
      </c>
      <c r="C236" s="59">
        <v>12.2616211938159</v>
      </c>
    </row>
    <row r="237" spans="2:3" x14ac:dyDescent="0.3">
      <c r="B237" s="77" t="s">
        <v>397</v>
      </c>
      <c r="C237" s="59">
        <v>21.834241463929501</v>
      </c>
    </row>
    <row r="238" spans="2:3" x14ac:dyDescent="0.3">
      <c r="B238" s="77" t="s">
        <v>398</v>
      </c>
      <c r="C238" s="59">
        <v>15.966502163689</v>
      </c>
    </row>
    <row r="239" spans="2:3" x14ac:dyDescent="0.3">
      <c r="B239" s="77" t="s">
        <v>399</v>
      </c>
      <c r="C239" s="59">
        <v>18.7525218753124</v>
      </c>
    </row>
    <row r="240" spans="2:3" ht="15" thickBot="1" x14ac:dyDescent="0.35">
      <c r="B240" s="77" t="s">
        <v>400</v>
      </c>
      <c r="C240" s="59">
        <v>8.9816478803866406</v>
      </c>
    </row>
    <row r="241" spans="2:3" ht="15" thickBot="1" x14ac:dyDescent="0.35">
      <c r="B241" s="233" t="s">
        <v>53</v>
      </c>
      <c r="C241" s="234"/>
    </row>
    <row r="242" spans="2:3" x14ac:dyDescent="0.3">
      <c r="B242" s="77" t="s">
        <v>401</v>
      </c>
      <c r="C242" s="59">
        <v>75.134563525883607</v>
      </c>
    </row>
    <row r="243" spans="2:3" x14ac:dyDescent="0.3">
      <c r="B243" s="77" t="s">
        <v>402</v>
      </c>
      <c r="C243" s="59">
        <v>74.354801584013003</v>
      </c>
    </row>
    <row r="244" spans="2:3" x14ac:dyDescent="0.3">
      <c r="B244" s="77" t="s">
        <v>403</v>
      </c>
      <c r="C244" s="59">
        <v>73.034783272369395</v>
      </c>
    </row>
    <row r="245" spans="2:3" x14ac:dyDescent="0.3">
      <c r="B245" s="77" t="s">
        <v>404</v>
      </c>
      <c r="C245" s="59">
        <v>72.791982404369904</v>
      </c>
    </row>
    <row r="246" spans="2:3" x14ac:dyDescent="0.3">
      <c r="B246" s="77" t="s">
        <v>405</v>
      </c>
      <c r="C246" s="59">
        <v>87.998553514554899</v>
      </c>
    </row>
    <row r="247" spans="2:3" x14ac:dyDescent="0.3">
      <c r="B247" s="77" t="s">
        <v>406</v>
      </c>
      <c r="C247" s="59">
        <v>88.080315362559801</v>
      </c>
    </row>
    <row r="248" spans="2:3" x14ac:dyDescent="0.3">
      <c r="B248" s="77" t="s">
        <v>407</v>
      </c>
      <c r="C248" s="59">
        <v>84.950542930155294</v>
      </c>
    </row>
    <row r="249" spans="2:3" x14ac:dyDescent="0.3">
      <c r="B249" s="77" t="s">
        <v>408</v>
      </c>
      <c r="C249" s="59">
        <v>81.279327223766202</v>
      </c>
    </row>
    <row r="250" spans="2:3" x14ac:dyDescent="0.3">
      <c r="B250" s="77" t="s">
        <v>409</v>
      </c>
      <c r="C250" s="59">
        <v>57.350520573439503</v>
      </c>
    </row>
    <row r="251" spans="2:3" x14ac:dyDescent="0.3">
      <c r="B251" s="77" t="s">
        <v>410</v>
      </c>
      <c r="C251" s="59">
        <v>66.618399968862207</v>
      </c>
    </row>
    <row r="252" spans="2:3" ht="15" thickBot="1" x14ac:dyDescent="0.35">
      <c r="B252" s="77" t="s">
        <v>411</v>
      </c>
      <c r="C252" s="59">
        <v>37.287524826813097</v>
      </c>
    </row>
    <row r="253" spans="2:3" ht="15" thickBot="1" x14ac:dyDescent="0.35">
      <c r="B253" s="233" t="s">
        <v>54</v>
      </c>
      <c r="C253" s="234"/>
    </row>
    <row r="254" spans="2:3" x14ac:dyDescent="0.3">
      <c r="B254" s="77" t="s">
        <v>412</v>
      </c>
      <c r="C254" s="59">
        <v>20.1845844038031</v>
      </c>
    </row>
    <row r="255" spans="2:3" x14ac:dyDescent="0.3">
      <c r="B255" s="77" t="s">
        <v>413</v>
      </c>
      <c r="C255" s="59">
        <v>28.385589541864999</v>
      </c>
    </row>
    <row r="256" spans="2:3" x14ac:dyDescent="0.3">
      <c r="B256" s="77" t="s">
        <v>414</v>
      </c>
      <c r="C256" s="59">
        <v>21.4677422564185</v>
      </c>
    </row>
    <row r="257" spans="2:3" ht="15" thickBot="1" x14ac:dyDescent="0.35">
      <c r="B257" s="78" t="s">
        <v>415</v>
      </c>
      <c r="C257" s="146">
        <v>28.218287942288701</v>
      </c>
    </row>
    <row r="258" spans="2:3" x14ac:dyDescent="0.3">
      <c r="B258" s="76"/>
      <c r="C258" s="17"/>
    </row>
  </sheetData>
  <sheetProtection algorithmName="SHA-512" hashValue="X+otuzw0inv5mjgCwwJ+ZPttVSa3lLlP3DA8GnBm2WPFX0OyqTYqSZ03cdR/tNwLsVeoSnRStUSPIkliRHvSig==" saltValue="p3mhVxpvmc3hQvINP5jIkQ==" spinCount="100000" sheet="1" objects="1" scenarios="1"/>
  <mergeCells count="19">
    <mergeCell ref="AP2:BE2"/>
    <mergeCell ref="B136:C136"/>
    <mergeCell ref="B152:C152"/>
    <mergeCell ref="B172:C172"/>
    <mergeCell ref="B184:C184"/>
    <mergeCell ref="B37:C37"/>
    <mergeCell ref="B44:C44"/>
    <mergeCell ref="B61:C61"/>
    <mergeCell ref="B92:C92"/>
    <mergeCell ref="B118:C118"/>
    <mergeCell ref="B4:C4"/>
    <mergeCell ref="L2:Z2"/>
    <mergeCell ref="AA2:AO2"/>
    <mergeCell ref="E30:I36"/>
    <mergeCell ref="B216:C216"/>
    <mergeCell ref="B230:C230"/>
    <mergeCell ref="B241:C241"/>
    <mergeCell ref="B253:C253"/>
    <mergeCell ref="B208:C208"/>
  </mergeCells>
  <pageMargins left="0.7" right="0.7" top="0.75" bottom="0.75" header="0.3" footer="0.3"/>
  <pageSetup orientation="portrait" horizontalDpi="4294967293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12E000-82A3-4572-899D-EC8F6F70C27D}">
  <sheetPr>
    <tabColor rgb="FF92D050"/>
  </sheetPr>
  <dimension ref="B2:HD66"/>
  <sheetViews>
    <sheetView topLeftCell="F7" zoomScale="80" zoomScaleNormal="80" workbookViewId="0">
      <selection activeCell="Y11" sqref="Y11"/>
    </sheetView>
  </sheetViews>
  <sheetFormatPr defaultRowHeight="14.4" x14ac:dyDescent="0.3"/>
  <cols>
    <col min="2" max="2" width="32.44140625" bestFit="1" customWidth="1"/>
    <col min="3" max="3" width="17.88671875" bestFit="1" customWidth="1"/>
    <col min="4" max="4" width="10.88671875" bestFit="1" customWidth="1"/>
    <col min="5" max="5" width="15.88671875" customWidth="1"/>
    <col min="6" max="6" width="14.6640625" bestFit="1" customWidth="1"/>
    <col min="7" max="7" width="7.109375" bestFit="1" customWidth="1"/>
    <col min="8" max="8" width="4.6640625" bestFit="1" customWidth="1"/>
    <col min="9" max="9" width="6.5546875" bestFit="1" customWidth="1"/>
    <col min="10" max="10" width="5.6640625" bestFit="1" customWidth="1"/>
    <col min="11" max="11" width="8.88671875" bestFit="1" customWidth="1"/>
    <col min="12" max="12" width="13.44140625" bestFit="1" customWidth="1"/>
    <col min="13" max="13" width="8.33203125" bestFit="1" customWidth="1"/>
    <col min="14" max="14" width="9.44140625" customWidth="1"/>
    <col min="15" max="15" width="18.109375" bestFit="1" customWidth="1"/>
    <col min="16" max="16" width="21" bestFit="1" customWidth="1"/>
    <col min="17" max="17" width="17.88671875" bestFit="1" customWidth="1"/>
    <col min="18" max="18" width="10.5546875" bestFit="1" customWidth="1"/>
    <col min="19" max="19" width="15.6640625" customWidth="1"/>
    <col min="20" max="20" width="14.6640625" bestFit="1" customWidth="1"/>
    <col min="21" max="22" width="5.6640625" bestFit="1" customWidth="1"/>
    <col min="23" max="23" width="6.5546875" bestFit="1" customWidth="1"/>
    <col min="24" max="24" width="5.6640625" bestFit="1" customWidth="1"/>
    <col min="25" max="25" width="6.6640625" bestFit="1" customWidth="1"/>
    <col min="26" max="26" width="5.6640625" bestFit="1" customWidth="1"/>
    <col min="27" max="28" width="10.21875" bestFit="1" customWidth="1"/>
    <col min="29" max="29" width="20" bestFit="1" customWidth="1"/>
    <col min="30" max="30" width="21" bestFit="1" customWidth="1"/>
    <col min="31" max="31" width="17" customWidth="1"/>
    <col min="32" max="32" width="10.5546875" bestFit="1" customWidth="1"/>
    <col min="33" max="33" width="15.109375" bestFit="1" customWidth="1"/>
    <col min="34" max="34" width="14.6640625" bestFit="1" customWidth="1"/>
    <col min="35" max="36" width="5.6640625" bestFit="1" customWidth="1"/>
    <col min="37" max="37" width="6.5546875" bestFit="1" customWidth="1"/>
    <col min="38" max="38" width="5.6640625" bestFit="1" customWidth="1"/>
    <col min="39" max="39" width="6.6640625" bestFit="1" customWidth="1"/>
    <col min="40" max="40" width="5.6640625" bestFit="1" customWidth="1"/>
    <col min="41" max="41" width="6.6640625" bestFit="1" customWidth="1"/>
    <col min="42" max="42" width="7.6640625" bestFit="1" customWidth="1"/>
    <col min="43" max="43" width="20" bestFit="1" customWidth="1"/>
    <col min="44" max="44" width="21" bestFit="1" customWidth="1"/>
    <col min="45" max="45" width="17.88671875" bestFit="1" customWidth="1"/>
    <col min="46" max="46" width="10.5546875" bestFit="1" customWidth="1"/>
    <col min="47" max="47" width="15.109375" bestFit="1" customWidth="1"/>
    <col min="48" max="48" width="14.6640625" bestFit="1" customWidth="1"/>
    <col min="49" max="50" width="5.6640625" bestFit="1" customWidth="1"/>
    <col min="51" max="51" width="6.5546875" bestFit="1" customWidth="1"/>
    <col min="52" max="52" width="5.6640625" bestFit="1" customWidth="1"/>
    <col min="53" max="53" width="6.6640625" bestFit="1" customWidth="1"/>
    <col min="54" max="54" width="5.6640625" bestFit="1" customWidth="1"/>
    <col min="55" max="55" width="6.5546875" bestFit="1" customWidth="1"/>
    <col min="56" max="56" width="6.6640625" bestFit="1" customWidth="1"/>
    <col min="57" max="57" width="20" bestFit="1" customWidth="1"/>
    <col min="58" max="58" width="21" bestFit="1" customWidth="1"/>
    <col min="59" max="59" width="17.88671875" bestFit="1" customWidth="1"/>
    <col min="60" max="60" width="10.5546875" bestFit="1" customWidth="1"/>
    <col min="61" max="61" width="15.109375" bestFit="1" customWidth="1"/>
    <col min="62" max="62" width="14.6640625" bestFit="1" customWidth="1"/>
    <col min="63" max="64" width="5.6640625" bestFit="1" customWidth="1"/>
    <col min="65" max="65" width="6.5546875" bestFit="1" customWidth="1"/>
    <col min="66" max="66" width="5.6640625" bestFit="1" customWidth="1"/>
    <col min="67" max="67" width="6.6640625" bestFit="1" customWidth="1"/>
    <col min="68" max="68" width="5.6640625" bestFit="1" customWidth="1"/>
    <col min="69" max="69" width="6.5546875" bestFit="1" customWidth="1"/>
    <col min="70" max="70" width="6.6640625" bestFit="1" customWidth="1"/>
    <col min="71" max="71" width="20" bestFit="1" customWidth="1"/>
    <col min="72" max="72" width="21" bestFit="1" customWidth="1"/>
    <col min="73" max="73" width="17.88671875" bestFit="1" customWidth="1"/>
    <col min="74" max="74" width="10.5546875" bestFit="1" customWidth="1"/>
    <col min="75" max="75" width="15.109375" bestFit="1" customWidth="1"/>
    <col min="76" max="76" width="14.6640625" bestFit="1" customWidth="1"/>
    <col min="77" max="78" width="5.6640625" bestFit="1" customWidth="1"/>
    <col min="79" max="79" width="6.5546875" bestFit="1" customWidth="1"/>
    <col min="80" max="82" width="5.6640625" bestFit="1" customWidth="1"/>
    <col min="83" max="83" width="6.5546875" bestFit="1" customWidth="1"/>
    <col min="84" max="84" width="6.6640625" bestFit="1" customWidth="1"/>
    <col min="85" max="85" width="20" bestFit="1" customWidth="1"/>
    <col min="86" max="86" width="21" bestFit="1" customWidth="1"/>
    <col min="87" max="87" width="17.88671875" bestFit="1" customWidth="1"/>
    <col min="88" max="88" width="10.5546875" bestFit="1" customWidth="1"/>
    <col min="89" max="89" width="15.109375" bestFit="1" customWidth="1"/>
    <col min="90" max="90" width="14.6640625" bestFit="1" customWidth="1"/>
    <col min="91" max="92" width="5.6640625" bestFit="1" customWidth="1"/>
    <col min="93" max="93" width="6.5546875" bestFit="1" customWidth="1"/>
    <col min="94" max="94" width="6.6640625" bestFit="1" customWidth="1"/>
    <col min="95" max="95" width="7.6640625" bestFit="1" customWidth="1"/>
    <col min="96" max="96" width="5.6640625" bestFit="1" customWidth="1"/>
    <col min="97" max="98" width="7.6640625" bestFit="1" customWidth="1"/>
    <col min="99" max="99" width="20" bestFit="1" customWidth="1"/>
    <col min="100" max="100" width="21" bestFit="1" customWidth="1"/>
    <col min="101" max="101" width="17.88671875" bestFit="1" customWidth="1"/>
    <col min="102" max="102" width="10.5546875" bestFit="1" customWidth="1"/>
    <col min="103" max="103" width="15.109375" bestFit="1" customWidth="1"/>
    <col min="104" max="104" width="14.6640625" bestFit="1" customWidth="1"/>
    <col min="105" max="106" width="5.6640625" bestFit="1" customWidth="1"/>
    <col min="107" max="107" width="6.5546875" bestFit="1" customWidth="1"/>
    <col min="108" max="108" width="5.6640625" bestFit="1" customWidth="1"/>
    <col min="109" max="109" width="7.6640625" bestFit="1" customWidth="1"/>
    <col min="110" max="110" width="5.6640625" bestFit="1" customWidth="1"/>
    <col min="111" max="111" width="6.6640625" bestFit="1" customWidth="1"/>
    <col min="112" max="112" width="7.6640625" bestFit="1" customWidth="1"/>
    <col min="113" max="113" width="20" bestFit="1" customWidth="1"/>
    <col min="114" max="114" width="21" bestFit="1" customWidth="1"/>
    <col min="115" max="115" width="17.88671875" bestFit="1" customWidth="1"/>
    <col min="116" max="116" width="10.5546875" bestFit="1" customWidth="1"/>
    <col min="117" max="117" width="15.109375" bestFit="1" customWidth="1"/>
    <col min="118" max="118" width="14.6640625" bestFit="1" customWidth="1"/>
    <col min="119" max="120" width="5.6640625" bestFit="1" customWidth="1"/>
    <col min="121" max="121" width="6.5546875" bestFit="1" customWidth="1"/>
    <col min="122" max="122" width="5.6640625" bestFit="1" customWidth="1"/>
    <col min="123" max="123" width="6.6640625" bestFit="1" customWidth="1"/>
    <col min="124" max="124" width="5.6640625" bestFit="1" customWidth="1"/>
    <col min="125" max="125" width="6.6640625" bestFit="1" customWidth="1"/>
    <col min="126" max="126" width="7.6640625" bestFit="1" customWidth="1"/>
    <col min="127" max="127" width="20" bestFit="1" customWidth="1"/>
    <col min="128" max="128" width="21" bestFit="1" customWidth="1"/>
    <col min="129" max="129" width="17.88671875" bestFit="1" customWidth="1"/>
    <col min="130" max="130" width="10.5546875" bestFit="1" customWidth="1"/>
    <col min="131" max="131" width="15.109375" bestFit="1" customWidth="1"/>
    <col min="132" max="132" width="14.6640625" bestFit="1" customWidth="1"/>
    <col min="133" max="134" width="5.6640625" bestFit="1" customWidth="1"/>
    <col min="135" max="135" width="6.5546875" bestFit="1" customWidth="1"/>
    <col min="136" max="136" width="5.6640625" bestFit="1" customWidth="1"/>
    <col min="137" max="137" width="7.6640625" bestFit="1" customWidth="1"/>
    <col min="138" max="138" width="5.6640625" bestFit="1" customWidth="1"/>
    <col min="139" max="139" width="6.6640625" bestFit="1" customWidth="1"/>
    <col min="140" max="140" width="7.6640625" bestFit="1" customWidth="1"/>
    <col min="141" max="141" width="20" bestFit="1" customWidth="1"/>
    <col min="142" max="142" width="21" bestFit="1" customWidth="1"/>
    <col min="143" max="143" width="17.88671875" bestFit="1" customWidth="1"/>
    <col min="144" max="144" width="10.5546875" bestFit="1" customWidth="1"/>
    <col min="145" max="145" width="15.109375" bestFit="1" customWidth="1"/>
    <col min="146" max="146" width="14.6640625" bestFit="1" customWidth="1"/>
    <col min="147" max="148" width="5.6640625" bestFit="1" customWidth="1"/>
    <col min="149" max="149" width="6.5546875" bestFit="1" customWidth="1"/>
    <col min="150" max="150" width="5.6640625" bestFit="1" customWidth="1"/>
    <col min="151" max="151" width="6.6640625" bestFit="1" customWidth="1"/>
    <col min="152" max="152" width="5.6640625" bestFit="1" customWidth="1"/>
    <col min="153" max="153" width="6.5546875" bestFit="1" customWidth="1"/>
    <col min="154" max="154" width="6.6640625" bestFit="1" customWidth="1"/>
    <col min="155" max="155" width="20" bestFit="1" customWidth="1"/>
    <col min="156" max="156" width="21" bestFit="1" customWidth="1"/>
    <col min="157" max="157" width="17.88671875" bestFit="1" customWidth="1"/>
    <col min="158" max="158" width="10.5546875" bestFit="1" customWidth="1"/>
    <col min="159" max="159" width="15.109375" bestFit="1" customWidth="1"/>
    <col min="160" max="160" width="14.6640625" bestFit="1" customWidth="1"/>
    <col min="161" max="162" width="5.6640625" bestFit="1" customWidth="1"/>
    <col min="163" max="163" width="6.5546875" bestFit="1" customWidth="1"/>
    <col min="164" max="164" width="5.6640625" bestFit="1" customWidth="1"/>
    <col min="165" max="165" width="6.6640625" bestFit="1" customWidth="1"/>
    <col min="166" max="166" width="5.6640625" bestFit="1" customWidth="1"/>
    <col min="167" max="167" width="6.6640625" bestFit="1" customWidth="1"/>
    <col min="168" max="168" width="7.6640625" bestFit="1" customWidth="1"/>
    <col min="169" max="169" width="20" bestFit="1" customWidth="1"/>
    <col min="170" max="170" width="21" bestFit="1" customWidth="1"/>
    <col min="171" max="171" width="17.88671875" bestFit="1" customWidth="1"/>
    <col min="172" max="172" width="10.5546875" bestFit="1" customWidth="1"/>
    <col min="173" max="173" width="15.109375" bestFit="1" customWidth="1"/>
    <col min="174" max="174" width="14.6640625" bestFit="1" customWidth="1"/>
    <col min="175" max="176" width="5.6640625" bestFit="1" customWidth="1"/>
    <col min="177" max="177" width="6.5546875" bestFit="1" customWidth="1"/>
    <col min="178" max="178" width="5.6640625" bestFit="1" customWidth="1"/>
    <col min="179" max="179" width="6.6640625" bestFit="1" customWidth="1"/>
    <col min="180" max="180" width="5.6640625" bestFit="1" customWidth="1"/>
    <col min="181" max="182" width="6.6640625" bestFit="1" customWidth="1"/>
    <col min="183" max="183" width="20" bestFit="1" customWidth="1"/>
    <col min="184" max="184" width="21" bestFit="1" customWidth="1"/>
    <col min="185" max="185" width="17.88671875" bestFit="1" customWidth="1"/>
    <col min="186" max="186" width="10.5546875" bestFit="1" customWidth="1"/>
    <col min="187" max="187" width="15.109375" bestFit="1" customWidth="1"/>
    <col min="188" max="188" width="14.6640625" bestFit="1" customWidth="1"/>
    <col min="189" max="190" width="5.6640625" bestFit="1" customWidth="1"/>
    <col min="191" max="191" width="6.5546875" bestFit="1" customWidth="1"/>
    <col min="192" max="192" width="5.6640625" bestFit="1" customWidth="1"/>
    <col min="193" max="193" width="7.6640625" bestFit="1" customWidth="1"/>
    <col min="194" max="194" width="5.6640625" bestFit="1" customWidth="1"/>
    <col min="195" max="195" width="6.6640625" bestFit="1" customWidth="1"/>
    <col min="196" max="196" width="7.6640625" bestFit="1" customWidth="1"/>
    <col min="197" max="197" width="20" bestFit="1" customWidth="1"/>
    <col min="198" max="198" width="21" bestFit="1" customWidth="1"/>
    <col min="199" max="199" width="17.88671875" bestFit="1" customWidth="1"/>
    <col min="200" max="200" width="10.5546875" bestFit="1" customWidth="1"/>
    <col min="201" max="201" width="15.109375" bestFit="1" customWidth="1"/>
    <col min="202" max="202" width="14.6640625" bestFit="1" customWidth="1"/>
    <col min="203" max="204" width="5.6640625" bestFit="1" customWidth="1"/>
    <col min="205" max="205" width="6.5546875" bestFit="1" customWidth="1"/>
    <col min="206" max="206" width="5.6640625" bestFit="1" customWidth="1"/>
    <col min="207" max="207" width="7.6640625" bestFit="1" customWidth="1"/>
    <col min="208" max="208" width="5.6640625" bestFit="1" customWidth="1"/>
    <col min="209" max="209" width="6.6640625" bestFit="1" customWidth="1"/>
    <col min="210" max="210" width="7.6640625" bestFit="1" customWidth="1"/>
    <col min="211" max="211" width="20" bestFit="1" customWidth="1"/>
    <col min="212" max="212" width="21" bestFit="1" customWidth="1"/>
  </cols>
  <sheetData>
    <row r="2" spans="2:212" ht="15" thickBot="1" x14ac:dyDescent="0.35"/>
    <row r="3" spans="2:212" ht="15" thickBot="1" x14ac:dyDescent="0.35">
      <c r="C3" s="233" t="s">
        <v>184</v>
      </c>
      <c r="D3" s="250"/>
      <c r="E3" s="250"/>
      <c r="F3" s="250"/>
      <c r="G3" s="250"/>
      <c r="H3" s="250"/>
      <c r="I3" s="250"/>
      <c r="J3" s="250"/>
      <c r="K3" s="250"/>
      <c r="L3" s="250"/>
      <c r="M3" s="250"/>
      <c r="N3" s="250"/>
      <c r="O3" s="250"/>
      <c r="P3" s="234"/>
      <c r="Q3" s="233" t="s">
        <v>185</v>
      </c>
      <c r="R3" s="250"/>
      <c r="S3" s="250"/>
      <c r="T3" s="250"/>
      <c r="U3" s="250"/>
      <c r="V3" s="250"/>
      <c r="W3" s="250"/>
      <c r="X3" s="250"/>
      <c r="Y3" s="250"/>
      <c r="Z3" s="250"/>
      <c r="AA3" s="250"/>
      <c r="AB3" s="250"/>
      <c r="AC3" s="250"/>
      <c r="AD3" s="234"/>
      <c r="AE3" s="233" t="s">
        <v>186</v>
      </c>
      <c r="AF3" s="250"/>
      <c r="AG3" s="250"/>
      <c r="AH3" s="250"/>
      <c r="AI3" s="250"/>
      <c r="AJ3" s="250"/>
      <c r="AK3" s="250"/>
      <c r="AL3" s="250"/>
      <c r="AM3" s="250"/>
      <c r="AN3" s="250"/>
      <c r="AO3" s="250"/>
      <c r="AP3" s="250"/>
      <c r="AQ3" s="250"/>
      <c r="AR3" s="234"/>
      <c r="AS3" s="233" t="s">
        <v>187</v>
      </c>
      <c r="AT3" s="250"/>
      <c r="AU3" s="250"/>
      <c r="AV3" s="250"/>
      <c r="AW3" s="250"/>
      <c r="AX3" s="250"/>
      <c r="AY3" s="250"/>
      <c r="AZ3" s="250"/>
      <c r="BA3" s="250"/>
      <c r="BB3" s="250"/>
      <c r="BC3" s="250"/>
      <c r="BD3" s="250"/>
      <c r="BE3" s="250"/>
      <c r="BF3" s="234"/>
      <c r="BG3" s="233" t="s">
        <v>188</v>
      </c>
      <c r="BH3" s="250"/>
      <c r="BI3" s="250"/>
      <c r="BJ3" s="250"/>
      <c r="BK3" s="250"/>
      <c r="BL3" s="250"/>
      <c r="BM3" s="250"/>
      <c r="BN3" s="250"/>
      <c r="BO3" s="250"/>
      <c r="BP3" s="250"/>
      <c r="BQ3" s="250"/>
      <c r="BR3" s="250"/>
      <c r="BS3" s="250"/>
      <c r="BT3" s="234"/>
      <c r="BU3" s="233" t="s">
        <v>189</v>
      </c>
      <c r="BV3" s="250"/>
      <c r="BW3" s="250"/>
      <c r="BX3" s="250"/>
      <c r="BY3" s="250"/>
      <c r="BZ3" s="250"/>
      <c r="CA3" s="250"/>
      <c r="CB3" s="250"/>
      <c r="CC3" s="250"/>
      <c r="CD3" s="250"/>
      <c r="CE3" s="250"/>
      <c r="CF3" s="250"/>
      <c r="CG3" s="250"/>
      <c r="CH3" s="234"/>
      <c r="CI3" s="233" t="s">
        <v>190</v>
      </c>
      <c r="CJ3" s="250"/>
      <c r="CK3" s="250"/>
      <c r="CL3" s="250"/>
      <c r="CM3" s="250"/>
      <c r="CN3" s="250"/>
      <c r="CO3" s="250"/>
      <c r="CP3" s="250"/>
      <c r="CQ3" s="250"/>
      <c r="CR3" s="250"/>
      <c r="CS3" s="250"/>
      <c r="CT3" s="250"/>
      <c r="CU3" s="250"/>
      <c r="CV3" s="234"/>
      <c r="CW3" s="233" t="s">
        <v>191</v>
      </c>
      <c r="CX3" s="250"/>
      <c r="CY3" s="250"/>
      <c r="CZ3" s="250"/>
      <c r="DA3" s="250"/>
      <c r="DB3" s="250"/>
      <c r="DC3" s="250"/>
      <c r="DD3" s="250"/>
      <c r="DE3" s="250"/>
      <c r="DF3" s="250"/>
      <c r="DG3" s="250"/>
      <c r="DH3" s="250"/>
      <c r="DI3" s="250"/>
      <c r="DJ3" s="234"/>
      <c r="DK3" s="233" t="s">
        <v>192</v>
      </c>
      <c r="DL3" s="250"/>
      <c r="DM3" s="250"/>
      <c r="DN3" s="250"/>
      <c r="DO3" s="250"/>
      <c r="DP3" s="250"/>
      <c r="DQ3" s="250"/>
      <c r="DR3" s="250"/>
      <c r="DS3" s="250"/>
      <c r="DT3" s="250"/>
      <c r="DU3" s="250"/>
      <c r="DV3" s="250"/>
      <c r="DW3" s="250"/>
      <c r="DX3" s="234"/>
      <c r="DY3" s="233" t="s">
        <v>193</v>
      </c>
      <c r="DZ3" s="250"/>
      <c r="EA3" s="250"/>
      <c r="EB3" s="250"/>
      <c r="EC3" s="250"/>
      <c r="ED3" s="250"/>
      <c r="EE3" s="250"/>
      <c r="EF3" s="250"/>
      <c r="EG3" s="250"/>
      <c r="EH3" s="250"/>
      <c r="EI3" s="250"/>
      <c r="EJ3" s="250"/>
      <c r="EK3" s="250"/>
      <c r="EL3" s="234"/>
      <c r="EM3" s="233" t="s">
        <v>194</v>
      </c>
      <c r="EN3" s="250"/>
      <c r="EO3" s="250"/>
      <c r="EP3" s="250"/>
      <c r="EQ3" s="250"/>
      <c r="ER3" s="250"/>
      <c r="ES3" s="250"/>
      <c r="ET3" s="250"/>
      <c r="EU3" s="250"/>
      <c r="EV3" s="250"/>
      <c r="EW3" s="250"/>
      <c r="EX3" s="250"/>
      <c r="EY3" s="250"/>
      <c r="EZ3" s="234"/>
      <c r="FA3" s="233" t="s">
        <v>195</v>
      </c>
      <c r="FB3" s="250"/>
      <c r="FC3" s="250"/>
      <c r="FD3" s="250"/>
      <c r="FE3" s="250"/>
      <c r="FF3" s="250"/>
      <c r="FG3" s="250"/>
      <c r="FH3" s="250"/>
      <c r="FI3" s="250"/>
      <c r="FJ3" s="250"/>
      <c r="FK3" s="250"/>
      <c r="FL3" s="250"/>
      <c r="FM3" s="250"/>
      <c r="FN3" s="234"/>
      <c r="FO3" s="233" t="s">
        <v>196</v>
      </c>
      <c r="FP3" s="250"/>
      <c r="FQ3" s="250"/>
      <c r="FR3" s="250"/>
      <c r="FS3" s="250"/>
      <c r="FT3" s="250"/>
      <c r="FU3" s="250"/>
      <c r="FV3" s="250"/>
      <c r="FW3" s="250"/>
      <c r="FX3" s="250"/>
      <c r="FY3" s="250"/>
      <c r="FZ3" s="250"/>
      <c r="GA3" s="250"/>
      <c r="GB3" s="234"/>
      <c r="GC3" s="233" t="s">
        <v>197</v>
      </c>
      <c r="GD3" s="250"/>
      <c r="GE3" s="250"/>
      <c r="GF3" s="250"/>
      <c r="GG3" s="250"/>
      <c r="GH3" s="250"/>
      <c r="GI3" s="250"/>
      <c r="GJ3" s="250"/>
      <c r="GK3" s="250"/>
      <c r="GL3" s="250"/>
      <c r="GM3" s="250"/>
      <c r="GN3" s="250"/>
      <c r="GO3" s="250"/>
      <c r="GP3" s="234"/>
      <c r="GQ3" s="233" t="s">
        <v>198</v>
      </c>
      <c r="GR3" s="250"/>
      <c r="GS3" s="250"/>
      <c r="GT3" s="250"/>
      <c r="GU3" s="250"/>
      <c r="GV3" s="250"/>
      <c r="GW3" s="250"/>
      <c r="GX3" s="250"/>
      <c r="GY3" s="250"/>
      <c r="GZ3" s="250"/>
      <c r="HA3" s="250"/>
      <c r="HB3" s="250"/>
      <c r="HC3" s="250"/>
      <c r="HD3" s="234"/>
    </row>
    <row r="4" spans="2:212" s="14" customFormat="1" ht="31.05" customHeight="1" x14ac:dyDescent="0.3">
      <c r="B4" s="91"/>
      <c r="C4" s="93"/>
      <c r="D4" s="92"/>
      <c r="E4" s="92"/>
      <c r="F4" s="92"/>
      <c r="G4" s="247" t="s">
        <v>94</v>
      </c>
      <c r="H4" s="247"/>
      <c r="I4" s="247"/>
      <c r="J4" s="249"/>
      <c r="K4" s="246" t="s">
        <v>422</v>
      </c>
      <c r="L4" s="247"/>
      <c r="M4" s="247"/>
      <c r="N4" s="247"/>
      <c r="O4" s="247"/>
      <c r="P4" s="248"/>
      <c r="Q4" s="93"/>
      <c r="R4" s="92"/>
      <c r="S4" s="92"/>
      <c r="T4" s="92"/>
      <c r="U4" s="247" t="s">
        <v>94</v>
      </c>
      <c r="V4" s="247"/>
      <c r="W4" s="247"/>
      <c r="X4" s="249"/>
      <c r="Y4" s="246" t="s">
        <v>422</v>
      </c>
      <c r="Z4" s="247"/>
      <c r="AA4" s="247"/>
      <c r="AB4" s="247"/>
      <c r="AC4" s="247"/>
      <c r="AD4" s="248"/>
      <c r="AE4" s="93"/>
      <c r="AF4" s="92"/>
      <c r="AG4" s="92"/>
      <c r="AH4" s="92"/>
      <c r="AI4" s="247" t="s">
        <v>94</v>
      </c>
      <c r="AJ4" s="247"/>
      <c r="AK4" s="247"/>
      <c r="AL4" s="249"/>
      <c r="AM4" s="246" t="s">
        <v>422</v>
      </c>
      <c r="AN4" s="247"/>
      <c r="AO4" s="247"/>
      <c r="AP4" s="247"/>
      <c r="AQ4" s="247"/>
      <c r="AR4" s="248"/>
      <c r="AS4" s="93"/>
      <c r="AT4" s="92"/>
      <c r="AU4" s="92"/>
      <c r="AV4" s="92"/>
      <c r="AW4" s="247" t="s">
        <v>94</v>
      </c>
      <c r="AX4" s="247"/>
      <c r="AY4" s="247"/>
      <c r="AZ4" s="249"/>
      <c r="BA4" s="246" t="s">
        <v>422</v>
      </c>
      <c r="BB4" s="247"/>
      <c r="BC4" s="247"/>
      <c r="BD4" s="247"/>
      <c r="BE4" s="247"/>
      <c r="BF4" s="248"/>
      <c r="BG4" s="93"/>
      <c r="BH4" s="92"/>
      <c r="BI4" s="92"/>
      <c r="BJ4" s="92"/>
      <c r="BK4" s="247" t="s">
        <v>94</v>
      </c>
      <c r="BL4" s="247"/>
      <c r="BM4" s="247"/>
      <c r="BN4" s="249"/>
      <c r="BO4" s="246" t="s">
        <v>422</v>
      </c>
      <c r="BP4" s="247"/>
      <c r="BQ4" s="247"/>
      <c r="BR4" s="247"/>
      <c r="BS4" s="247"/>
      <c r="BT4" s="248"/>
      <c r="BU4" s="93"/>
      <c r="BV4" s="92"/>
      <c r="BW4" s="92"/>
      <c r="BX4" s="92"/>
      <c r="BY4" s="247" t="s">
        <v>94</v>
      </c>
      <c r="BZ4" s="247"/>
      <c r="CA4" s="247"/>
      <c r="CB4" s="249"/>
      <c r="CC4" s="246" t="s">
        <v>422</v>
      </c>
      <c r="CD4" s="247"/>
      <c r="CE4" s="247"/>
      <c r="CF4" s="247"/>
      <c r="CG4" s="247"/>
      <c r="CH4" s="248"/>
      <c r="CI4" s="93"/>
      <c r="CJ4" s="92"/>
      <c r="CK4" s="92"/>
      <c r="CL4" s="92"/>
      <c r="CM4" s="247" t="s">
        <v>94</v>
      </c>
      <c r="CN4" s="247"/>
      <c r="CO4" s="247"/>
      <c r="CP4" s="249"/>
      <c r="CQ4" s="246" t="s">
        <v>422</v>
      </c>
      <c r="CR4" s="247"/>
      <c r="CS4" s="247"/>
      <c r="CT4" s="247"/>
      <c r="CU4" s="247"/>
      <c r="CV4" s="248"/>
      <c r="CW4" s="93"/>
      <c r="CX4" s="92"/>
      <c r="CY4" s="92"/>
      <c r="CZ4" s="92"/>
      <c r="DA4" s="247" t="s">
        <v>94</v>
      </c>
      <c r="DB4" s="247"/>
      <c r="DC4" s="247"/>
      <c r="DD4" s="249"/>
      <c r="DE4" s="246" t="s">
        <v>422</v>
      </c>
      <c r="DF4" s="247"/>
      <c r="DG4" s="247"/>
      <c r="DH4" s="247"/>
      <c r="DI4" s="247"/>
      <c r="DJ4" s="248"/>
      <c r="DK4" s="93"/>
      <c r="DL4" s="92"/>
      <c r="DM4" s="92"/>
      <c r="DN4" s="92"/>
      <c r="DO4" s="247" t="s">
        <v>94</v>
      </c>
      <c r="DP4" s="247"/>
      <c r="DQ4" s="247"/>
      <c r="DR4" s="249"/>
      <c r="DS4" s="246" t="s">
        <v>422</v>
      </c>
      <c r="DT4" s="247"/>
      <c r="DU4" s="247"/>
      <c r="DV4" s="247"/>
      <c r="DW4" s="247"/>
      <c r="DX4" s="248"/>
      <c r="DY4" s="93"/>
      <c r="DZ4" s="92"/>
      <c r="EA4" s="92"/>
      <c r="EB4" s="92"/>
      <c r="EC4" s="247" t="s">
        <v>94</v>
      </c>
      <c r="ED4" s="247"/>
      <c r="EE4" s="247"/>
      <c r="EF4" s="249"/>
      <c r="EG4" s="246" t="s">
        <v>422</v>
      </c>
      <c r="EH4" s="247"/>
      <c r="EI4" s="247"/>
      <c r="EJ4" s="247"/>
      <c r="EK4" s="247"/>
      <c r="EL4" s="248"/>
      <c r="EM4" s="93"/>
      <c r="EN4" s="92"/>
      <c r="EO4" s="92"/>
      <c r="EP4" s="92"/>
      <c r="EQ4" s="247" t="s">
        <v>94</v>
      </c>
      <c r="ER4" s="247"/>
      <c r="ES4" s="247"/>
      <c r="ET4" s="249"/>
      <c r="EU4" s="246" t="s">
        <v>422</v>
      </c>
      <c r="EV4" s="247"/>
      <c r="EW4" s="247"/>
      <c r="EX4" s="247"/>
      <c r="EY4" s="247"/>
      <c r="EZ4" s="248"/>
      <c r="FA4" s="93"/>
      <c r="FB4" s="92"/>
      <c r="FC4" s="92"/>
      <c r="FD4" s="92"/>
      <c r="FE4" s="247" t="s">
        <v>94</v>
      </c>
      <c r="FF4" s="247"/>
      <c r="FG4" s="247"/>
      <c r="FH4" s="249"/>
      <c r="FI4" s="246" t="s">
        <v>422</v>
      </c>
      <c r="FJ4" s="247"/>
      <c r="FK4" s="247"/>
      <c r="FL4" s="247"/>
      <c r="FM4" s="247"/>
      <c r="FN4" s="248"/>
      <c r="FO4" s="93"/>
      <c r="FP4" s="92"/>
      <c r="FQ4" s="92"/>
      <c r="FR4" s="92"/>
      <c r="FS4" s="247" t="s">
        <v>94</v>
      </c>
      <c r="FT4" s="247"/>
      <c r="FU4" s="247"/>
      <c r="FV4" s="249"/>
      <c r="FW4" s="246" t="s">
        <v>422</v>
      </c>
      <c r="FX4" s="247"/>
      <c r="FY4" s="247"/>
      <c r="FZ4" s="247"/>
      <c r="GA4" s="247"/>
      <c r="GB4" s="248"/>
      <c r="GC4" s="93"/>
      <c r="GD4" s="92"/>
      <c r="GE4" s="92"/>
      <c r="GF4" s="92"/>
      <c r="GG4" s="247" t="s">
        <v>94</v>
      </c>
      <c r="GH4" s="247"/>
      <c r="GI4" s="247"/>
      <c r="GJ4" s="249"/>
      <c r="GK4" s="246" t="s">
        <v>422</v>
      </c>
      <c r="GL4" s="247"/>
      <c r="GM4" s="247"/>
      <c r="GN4" s="247"/>
      <c r="GO4" s="247"/>
      <c r="GP4" s="248"/>
      <c r="GQ4" s="93"/>
      <c r="GR4" s="92"/>
      <c r="GS4" s="92"/>
      <c r="GT4" s="92"/>
      <c r="GU4" s="247" t="s">
        <v>94</v>
      </c>
      <c r="GV4" s="247"/>
      <c r="GW4" s="247"/>
      <c r="GX4" s="249"/>
      <c r="GY4" s="246" t="s">
        <v>422</v>
      </c>
      <c r="GZ4" s="247"/>
      <c r="HA4" s="247"/>
      <c r="HB4" s="247"/>
      <c r="HC4" s="247"/>
      <c r="HD4" s="248"/>
    </row>
    <row r="5" spans="2:212" ht="15.6" x14ac:dyDescent="0.35">
      <c r="B5" s="24" t="s">
        <v>58</v>
      </c>
      <c r="C5" s="81" t="s">
        <v>420</v>
      </c>
      <c r="D5" s="79" t="s">
        <v>416</v>
      </c>
      <c r="E5" s="79" t="s">
        <v>417</v>
      </c>
      <c r="F5" s="79" t="s">
        <v>456</v>
      </c>
      <c r="G5" s="79" t="s">
        <v>96</v>
      </c>
      <c r="H5" s="79" t="s">
        <v>97</v>
      </c>
      <c r="I5" s="79" t="s">
        <v>98</v>
      </c>
      <c r="J5" s="25" t="s">
        <v>99</v>
      </c>
      <c r="K5" s="24" t="s">
        <v>96</v>
      </c>
      <c r="L5" s="79" t="s">
        <v>97</v>
      </c>
      <c r="M5" s="79" t="s">
        <v>98</v>
      </c>
      <c r="N5" s="79" t="s">
        <v>99</v>
      </c>
      <c r="O5" s="79" t="s">
        <v>100</v>
      </c>
      <c r="P5" s="82" t="s">
        <v>101</v>
      </c>
      <c r="Q5" s="81" t="s">
        <v>420</v>
      </c>
      <c r="R5" s="79" t="s">
        <v>416</v>
      </c>
      <c r="S5" s="79" t="s">
        <v>417</v>
      </c>
      <c r="T5" s="79" t="s">
        <v>456</v>
      </c>
      <c r="U5" s="79" t="s">
        <v>96</v>
      </c>
      <c r="V5" s="79" t="s">
        <v>97</v>
      </c>
      <c r="W5" s="79" t="s">
        <v>98</v>
      </c>
      <c r="X5" s="25" t="s">
        <v>99</v>
      </c>
      <c r="Y5" s="24" t="s">
        <v>96</v>
      </c>
      <c r="Z5" s="79" t="s">
        <v>97</v>
      </c>
      <c r="AA5" s="79" t="s">
        <v>98</v>
      </c>
      <c r="AB5" s="79" t="s">
        <v>99</v>
      </c>
      <c r="AC5" s="79" t="s">
        <v>100</v>
      </c>
      <c r="AD5" s="82" t="s">
        <v>101</v>
      </c>
      <c r="AE5" s="81" t="s">
        <v>420</v>
      </c>
      <c r="AF5" s="79" t="s">
        <v>416</v>
      </c>
      <c r="AG5" s="79" t="s">
        <v>417</v>
      </c>
      <c r="AH5" s="79" t="s">
        <v>456</v>
      </c>
      <c r="AI5" s="79" t="s">
        <v>96</v>
      </c>
      <c r="AJ5" s="79" t="s">
        <v>97</v>
      </c>
      <c r="AK5" s="79" t="s">
        <v>98</v>
      </c>
      <c r="AL5" s="25" t="s">
        <v>99</v>
      </c>
      <c r="AM5" s="24" t="s">
        <v>96</v>
      </c>
      <c r="AN5" s="79" t="s">
        <v>97</v>
      </c>
      <c r="AO5" s="79" t="s">
        <v>98</v>
      </c>
      <c r="AP5" s="79" t="s">
        <v>99</v>
      </c>
      <c r="AQ5" s="79" t="s">
        <v>100</v>
      </c>
      <c r="AR5" s="82" t="s">
        <v>101</v>
      </c>
      <c r="AS5" s="81" t="s">
        <v>420</v>
      </c>
      <c r="AT5" s="79" t="s">
        <v>416</v>
      </c>
      <c r="AU5" s="79" t="s">
        <v>417</v>
      </c>
      <c r="AV5" s="79" t="s">
        <v>456</v>
      </c>
      <c r="AW5" s="79" t="s">
        <v>96</v>
      </c>
      <c r="AX5" s="79" t="s">
        <v>97</v>
      </c>
      <c r="AY5" s="79" t="s">
        <v>98</v>
      </c>
      <c r="AZ5" s="25" t="s">
        <v>99</v>
      </c>
      <c r="BA5" s="24" t="s">
        <v>96</v>
      </c>
      <c r="BB5" s="79" t="s">
        <v>97</v>
      </c>
      <c r="BC5" s="79" t="s">
        <v>98</v>
      </c>
      <c r="BD5" s="79" t="s">
        <v>99</v>
      </c>
      <c r="BE5" s="79" t="s">
        <v>100</v>
      </c>
      <c r="BF5" s="82" t="s">
        <v>101</v>
      </c>
      <c r="BG5" s="81" t="s">
        <v>420</v>
      </c>
      <c r="BH5" s="79" t="s">
        <v>416</v>
      </c>
      <c r="BI5" s="79" t="s">
        <v>417</v>
      </c>
      <c r="BJ5" s="79" t="s">
        <v>456</v>
      </c>
      <c r="BK5" s="79" t="s">
        <v>96</v>
      </c>
      <c r="BL5" s="79" t="s">
        <v>97</v>
      </c>
      <c r="BM5" s="79" t="s">
        <v>98</v>
      </c>
      <c r="BN5" s="25" t="s">
        <v>99</v>
      </c>
      <c r="BO5" s="24" t="s">
        <v>96</v>
      </c>
      <c r="BP5" s="79" t="s">
        <v>97</v>
      </c>
      <c r="BQ5" s="79" t="s">
        <v>98</v>
      </c>
      <c r="BR5" s="79" t="s">
        <v>99</v>
      </c>
      <c r="BS5" s="79" t="s">
        <v>100</v>
      </c>
      <c r="BT5" s="82" t="s">
        <v>101</v>
      </c>
      <c r="BU5" s="81" t="s">
        <v>420</v>
      </c>
      <c r="BV5" s="79" t="s">
        <v>416</v>
      </c>
      <c r="BW5" s="79" t="s">
        <v>417</v>
      </c>
      <c r="BX5" s="79" t="s">
        <v>456</v>
      </c>
      <c r="BY5" s="79" t="s">
        <v>96</v>
      </c>
      <c r="BZ5" s="79" t="s">
        <v>97</v>
      </c>
      <c r="CA5" s="79" t="s">
        <v>98</v>
      </c>
      <c r="CB5" s="25" t="s">
        <v>99</v>
      </c>
      <c r="CC5" s="24" t="s">
        <v>96</v>
      </c>
      <c r="CD5" s="79" t="s">
        <v>97</v>
      </c>
      <c r="CE5" s="79" t="s">
        <v>98</v>
      </c>
      <c r="CF5" s="79" t="s">
        <v>99</v>
      </c>
      <c r="CG5" s="79" t="s">
        <v>100</v>
      </c>
      <c r="CH5" s="82" t="s">
        <v>101</v>
      </c>
      <c r="CI5" s="81" t="s">
        <v>420</v>
      </c>
      <c r="CJ5" s="79" t="s">
        <v>416</v>
      </c>
      <c r="CK5" s="79" t="s">
        <v>417</v>
      </c>
      <c r="CL5" s="79" t="s">
        <v>456</v>
      </c>
      <c r="CM5" s="79" t="s">
        <v>96</v>
      </c>
      <c r="CN5" s="79" t="s">
        <v>97</v>
      </c>
      <c r="CO5" s="79" t="s">
        <v>98</v>
      </c>
      <c r="CP5" s="25" t="s">
        <v>99</v>
      </c>
      <c r="CQ5" s="24" t="s">
        <v>96</v>
      </c>
      <c r="CR5" s="79" t="s">
        <v>97</v>
      </c>
      <c r="CS5" s="79" t="s">
        <v>98</v>
      </c>
      <c r="CT5" s="79" t="s">
        <v>99</v>
      </c>
      <c r="CU5" s="79" t="s">
        <v>100</v>
      </c>
      <c r="CV5" s="82" t="s">
        <v>101</v>
      </c>
      <c r="CW5" s="81" t="s">
        <v>420</v>
      </c>
      <c r="CX5" s="79" t="s">
        <v>416</v>
      </c>
      <c r="CY5" s="79" t="s">
        <v>417</v>
      </c>
      <c r="CZ5" s="79" t="s">
        <v>456</v>
      </c>
      <c r="DA5" s="79" t="s">
        <v>96</v>
      </c>
      <c r="DB5" s="79" t="s">
        <v>97</v>
      </c>
      <c r="DC5" s="79" t="s">
        <v>98</v>
      </c>
      <c r="DD5" s="25" t="s">
        <v>99</v>
      </c>
      <c r="DE5" s="24" t="s">
        <v>96</v>
      </c>
      <c r="DF5" s="79" t="s">
        <v>97</v>
      </c>
      <c r="DG5" s="79" t="s">
        <v>98</v>
      </c>
      <c r="DH5" s="79" t="s">
        <v>99</v>
      </c>
      <c r="DI5" s="79" t="s">
        <v>100</v>
      </c>
      <c r="DJ5" s="82" t="s">
        <v>101</v>
      </c>
      <c r="DK5" s="81" t="s">
        <v>420</v>
      </c>
      <c r="DL5" s="79" t="s">
        <v>416</v>
      </c>
      <c r="DM5" s="79" t="s">
        <v>417</v>
      </c>
      <c r="DN5" s="79" t="s">
        <v>456</v>
      </c>
      <c r="DO5" s="79" t="s">
        <v>96</v>
      </c>
      <c r="DP5" s="79" t="s">
        <v>97</v>
      </c>
      <c r="DQ5" s="79" t="s">
        <v>98</v>
      </c>
      <c r="DR5" s="25" t="s">
        <v>99</v>
      </c>
      <c r="DS5" s="24" t="s">
        <v>96</v>
      </c>
      <c r="DT5" s="79" t="s">
        <v>97</v>
      </c>
      <c r="DU5" s="79" t="s">
        <v>98</v>
      </c>
      <c r="DV5" s="79" t="s">
        <v>99</v>
      </c>
      <c r="DW5" s="79" t="s">
        <v>100</v>
      </c>
      <c r="DX5" s="82" t="s">
        <v>101</v>
      </c>
      <c r="DY5" s="81" t="s">
        <v>420</v>
      </c>
      <c r="DZ5" s="79" t="s">
        <v>416</v>
      </c>
      <c r="EA5" s="79" t="s">
        <v>417</v>
      </c>
      <c r="EB5" s="79" t="s">
        <v>456</v>
      </c>
      <c r="EC5" s="79" t="s">
        <v>96</v>
      </c>
      <c r="ED5" s="79" t="s">
        <v>97</v>
      </c>
      <c r="EE5" s="79" t="s">
        <v>98</v>
      </c>
      <c r="EF5" s="25" t="s">
        <v>99</v>
      </c>
      <c r="EG5" s="24" t="s">
        <v>96</v>
      </c>
      <c r="EH5" s="79" t="s">
        <v>97</v>
      </c>
      <c r="EI5" s="79" t="s">
        <v>98</v>
      </c>
      <c r="EJ5" s="79" t="s">
        <v>99</v>
      </c>
      <c r="EK5" s="79" t="s">
        <v>100</v>
      </c>
      <c r="EL5" s="82" t="s">
        <v>101</v>
      </c>
      <c r="EM5" s="81" t="s">
        <v>420</v>
      </c>
      <c r="EN5" s="79" t="s">
        <v>416</v>
      </c>
      <c r="EO5" s="79" t="s">
        <v>417</v>
      </c>
      <c r="EP5" s="79" t="s">
        <v>456</v>
      </c>
      <c r="EQ5" s="79" t="s">
        <v>96</v>
      </c>
      <c r="ER5" s="79" t="s">
        <v>97</v>
      </c>
      <c r="ES5" s="79" t="s">
        <v>98</v>
      </c>
      <c r="ET5" s="25" t="s">
        <v>99</v>
      </c>
      <c r="EU5" s="24" t="s">
        <v>96</v>
      </c>
      <c r="EV5" s="79" t="s">
        <v>97</v>
      </c>
      <c r="EW5" s="79" t="s">
        <v>98</v>
      </c>
      <c r="EX5" s="79" t="s">
        <v>99</v>
      </c>
      <c r="EY5" s="79" t="s">
        <v>100</v>
      </c>
      <c r="EZ5" s="82" t="s">
        <v>101</v>
      </c>
      <c r="FA5" s="81" t="s">
        <v>420</v>
      </c>
      <c r="FB5" s="79" t="s">
        <v>416</v>
      </c>
      <c r="FC5" s="79" t="s">
        <v>417</v>
      </c>
      <c r="FD5" s="79" t="s">
        <v>456</v>
      </c>
      <c r="FE5" s="79" t="s">
        <v>96</v>
      </c>
      <c r="FF5" s="79" t="s">
        <v>97</v>
      </c>
      <c r="FG5" s="79" t="s">
        <v>98</v>
      </c>
      <c r="FH5" s="25" t="s">
        <v>99</v>
      </c>
      <c r="FI5" s="24" t="s">
        <v>96</v>
      </c>
      <c r="FJ5" s="79" t="s">
        <v>97</v>
      </c>
      <c r="FK5" s="79" t="s">
        <v>98</v>
      </c>
      <c r="FL5" s="79" t="s">
        <v>99</v>
      </c>
      <c r="FM5" s="79" t="s">
        <v>100</v>
      </c>
      <c r="FN5" s="82" t="s">
        <v>101</v>
      </c>
      <c r="FO5" s="81" t="s">
        <v>420</v>
      </c>
      <c r="FP5" s="79" t="s">
        <v>416</v>
      </c>
      <c r="FQ5" s="79" t="s">
        <v>417</v>
      </c>
      <c r="FR5" s="79" t="s">
        <v>456</v>
      </c>
      <c r="FS5" s="79" t="s">
        <v>96</v>
      </c>
      <c r="FT5" s="79" t="s">
        <v>97</v>
      </c>
      <c r="FU5" s="79" t="s">
        <v>98</v>
      </c>
      <c r="FV5" s="25" t="s">
        <v>99</v>
      </c>
      <c r="FW5" s="24" t="s">
        <v>96</v>
      </c>
      <c r="FX5" s="79" t="s">
        <v>97</v>
      </c>
      <c r="FY5" s="79" t="s">
        <v>98</v>
      </c>
      <c r="FZ5" s="79" t="s">
        <v>99</v>
      </c>
      <c r="GA5" s="79" t="s">
        <v>100</v>
      </c>
      <c r="GB5" s="82" t="s">
        <v>101</v>
      </c>
      <c r="GC5" s="81" t="s">
        <v>420</v>
      </c>
      <c r="GD5" s="79" t="s">
        <v>416</v>
      </c>
      <c r="GE5" s="79" t="s">
        <v>417</v>
      </c>
      <c r="GF5" s="79" t="s">
        <v>456</v>
      </c>
      <c r="GG5" s="79" t="s">
        <v>96</v>
      </c>
      <c r="GH5" s="79" t="s">
        <v>97</v>
      </c>
      <c r="GI5" s="79" t="s">
        <v>98</v>
      </c>
      <c r="GJ5" s="25" t="s">
        <v>99</v>
      </c>
      <c r="GK5" s="24" t="s">
        <v>96</v>
      </c>
      <c r="GL5" s="79" t="s">
        <v>97</v>
      </c>
      <c r="GM5" s="79" t="s">
        <v>98</v>
      </c>
      <c r="GN5" s="79" t="s">
        <v>99</v>
      </c>
      <c r="GO5" s="79" t="s">
        <v>100</v>
      </c>
      <c r="GP5" s="82" t="s">
        <v>101</v>
      </c>
      <c r="GQ5" s="81" t="s">
        <v>420</v>
      </c>
      <c r="GR5" s="79" t="s">
        <v>416</v>
      </c>
      <c r="GS5" s="79" t="s">
        <v>417</v>
      </c>
      <c r="GT5" s="79" t="s">
        <v>456</v>
      </c>
      <c r="GU5" s="79" t="s">
        <v>96</v>
      </c>
      <c r="GV5" s="79" t="s">
        <v>97</v>
      </c>
      <c r="GW5" s="79" t="s">
        <v>98</v>
      </c>
      <c r="GX5" s="25" t="s">
        <v>99</v>
      </c>
      <c r="GY5" s="24" t="s">
        <v>96</v>
      </c>
      <c r="GZ5" s="79" t="s">
        <v>97</v>
      </c>
      <c r="HA5" s="79" t="s">
        <v>98</v>
      </c>
      <c r="HB5" s="79" t="s">
        <v>99</v>
      </c>
      <c r="HC5" s="79" t="s">
        <v>100</v>
      </c>
      <c r="HD5" s="82" t="s">
        <v>101</v>
      </c>
    </row>
    <row r="6" spans="2:212" x14ac:dyDescent="0.3">
      <c r="B6" s="6">
        <v>2023</v>
      </c>
      <c r="C6" s="19"/>
      <c r="G6" s="23"/>
      <c r="H6" s="23"/>
      <c r="I6" s="23"/>
      <c r="J6" s="26"/>
      <c r="K6" s="27"/>
      <c r="L6" s="23"/>
      <c r="M6" s="23"/>
      <c r="N6" s="23"/>
      <c r="O6" s="23"/>
      <c r="P6" s="83"/>
      <c r="Q6" s="19"/>
      <c r="U6" s="23"/>
      <c r="V6" s="23"/>
      <c r="W6" s="23"/>
      <c r="X6" s="26"/>
      <c r="Y6" s="27"/>
      <c r="Z6" s="23"/>
      <c r="AA6" s="23"/>
      <c r="AB6" s="23"/>
      <c r="AC6" s="23"/>
      <c r="AD6" s="83"/>
      <c r="AE6" s="19"/>
      <c r="AI6" s="23"/>
      <c r="AJ6" s="23"/>
      <c r="AK6" s="23"/>
      <c r="AL6" s="26"/>
      <c r="AM6" s="27"/>
      <c r="AN6" s="23"/>
      <c r="AO6" s="23"/>
      <c r="AP6" s="23"/>
      <c r="AQ6" s="23"/>
      <c r="AR6" s="83"/>
      <c r="AS6" s="19"/>
      <c r="AW6" s="23"/>
      <c r="AX6" s="23"/>
      <c r="AY6" s="23"/>
      <c r="AZ6" s="26"/>
      <c r="BA6" s="27"/>
      <c r="BB6" s="23"/>
      <c r="BC6" s="23"/>
      <c r="BD6" s="23"/>
      <c r="BE6" s="23"/>
      <c r="BF6" s="83"/>
      <c r="BG6" s="19"/>
      <c r="BK6" s="23"/>
      <c r="BL6" s="23"/>
      <c r="BM6" s="23"/>
      <c r="BN6" s="26"/>
      <c r="BO6" s="27"/>
      <c r="BP6" s="23"/>
      <c r="BQ6" s="23"/>
      <c r="BR6" s="23"/>
      <c r="BS6" s="23"/>
      <c r="BT6" s="83"/>
      <c r="BU6" s="19"/>
      <c r="BY6" s="23"/>
      <c r="BZ6" s="23"/>
      <c r="CA6" s="23"/>
      <c r="CB6" s="26"/>
      <c r="CC6" s="27"/>
      <c r="CD6" s="23"/>
      <c r="CE6" s="23"/>
      <c r="CF6" s="23"/>
      <c r="CG6" s="23"/>
      <c r="CH6" s="83"/>
      <c r="CI6" s="19"/>
      <c r="CM6" s="23"/>
      <c r="CN6" s="23"/>
      <c r="CO6" s="23"/>
      <c r="CP6" s="26"/>
      <c r="CQ6" s="27"/>
      <c r="CR6" s="23"/>
      <c r="CS6" s="23"/>
      <c r="CT6" s="23"/>
      <c r="CU6" s="23"/>
      <c r="CV6" s="83"/>
      <c r="CW6" s="19"/>
      <c r="DA6" s="23"/>
      <c r="DB6" s="23"/>
      <c r="DC6" s="23"/>
      <c r="DD6" s="26"/>
      <c r="DE6" s="27"/>
      <c r="DF6" s="23"/>
      <c r="DG6" s="23"/>
      <c r="DH6" s="23"/>
      <c r="DI6" s="23"/>
      <c r="DJ6" s="83"/>
      <c r="DK6" s="19"/>
      <c r="DO6" s="23"/>
      <c r="DP6" s="23"/>
      <c r="DQ6" s="23"/>
      <c r="DR6" s="26"/>
      <c r="DS6" s="27"/>
      <c r="DT6" s="23"/>
      <c r="DU6" s="23"/>
      <c r="DV6" s="23"/>
      <c r="DW6" s="23"/>
      <c r="DX6" s="83"/>
      <c r="DY6" s="19"/>
      <c r="EC6" s="23"/>
      <c r="ED6" s="23"/>
      <c r="EE6" s="23"/>
      <c r="EF6" s="26"/>
      <c r="EG6" s="27"/>
      <c r="EH6" s="23"/>
      <c r="EI6" s="23"/>
      <c r="EJ6" s="23"/>
      <c r="EK6" s="23"/>
      <c r="EL6" s="83"/>
      <c r="EM6" s="19"/>
      <c r="EQ6" s="23"/>
      <c r="ER6" s="23"/>
      <c r="ES6" s="23"/>
      <c r="ET6" s="26"/>
      <c r="EU6" s="27"/>
      <c r="EV6" s="23"/>
      <c r="EW6" s="23"/>
      <c r="EX6" s="23"/>
      <c r="EY6" s="23"/>
      <c r="EZ6" s="83"/>
      <c r="FA6" s="19"/>
      <c r="FE6" s="23"/>
      <c r="FF6" s="23"/>
      <c r="FG6" s="23"/>
      <c r="FH6" s="26"/>
      <c r="FI6" s="27"/>
      <c r="FJ6" s="23"/>
      <c r="FK6" s="23"/>
      <c r="FL6" s="23"/>
      <c r="FM6" s="23"/>
      <c r="FN6" s="83"/>
      <c r="FO6" s="19"/>
      <c r="FS6" s="23"/>
      <c r="FT6" s="23"/>
      <c r="FU6" s="23"/>
      <c r="FV6" s="26"/>
      <c r="FW6" s="27"/>
      <c r="FX6" s="23"/>
      <c r="FY6" s="23"/>
      <c r="FZ6" s="23"/>
      <c r="GA6" s="23"/>
      <c r="GB6" s="83"/>
      <c r="GC6" s="19"/>
      <c r="GG6" s="23"/>
      <c r="GH6" s="23"/>
      <c r="GI6" s="23"/>
      <c r="GJ6" s="26"/>
      <c r="GK6" s="27"/>
      <c r="GL6" s="23"/>
      <c r="GM6" s="23"/>
      <c r="GN6" s="23"/>
      <c r="GO6" s="23"/>
      <c r="GP6" s="83"/>
      <c r="GQ6" s="19"/>
      <c r="GU6" s="23"/>
      <c r="GV6" s="23"/>
      <c r="GW6" s="23"/>
      <c r="GX6" s="26"/>
      <c r="GY6" s="27"/>
      <c r="GZ6" s="23"/>
      <c r="HA6" s="23"/>
      <c r="HB6" s="23"/>
      <c r="HC6" s="23"/>
      <c r="HD6" s="83"/>
    </row>
    <row r="7" spans="2:212" x14ac:dyDescent="0.3">
      <c r="B7" s="6">
        <v>2024</v>
      </c>
      <c r="C7" s="19"/>
      <c r="G7" s="23"/>
      <c r="H7" s="23"/>
      <c r="I7" s="23"/>
      <c r="J7" s="26"/>
      <c r="K7" s="27"/>
      <c r="L7" s="23"/>
      <c r="M7" s="23"/>
      <c r="N7" s="23"/>
      <c r="O7" s="23"/>
      <c r="P7" s="83"/>
      <c r="Q7" s="19"/>
      <c r="U7" s="23"/>
      <c r="V7" s="23"/>
      <c r="W7" s="23"/>
      <c r="X7" s="26"/>
      <c r="Y7" s="27"/>
      <c r="Z7" s="23"/>
      <c r="AA7" s="23"/>
      <c r="AB7" s="23"/>
      <c r="AC7" s="23"/>
      <c r="AD7" s="83"/>
      <c r="AE7" s="19"/>
      <c r="AI7" s="23"/>
      <c r="AJ7" s="23"/>
      <c r="AK7" s="23"/>
      <c r="AL7" s="26"/>
      <c r="AM7" s="27"/>
      <c r="AN7" s="23"/>
      <c r="AO7" s="23"/>
      <c r="AP7" s="23"/>
      <c r="AQ7" s="23"/>
      <c r="AR7" s="83"/>
      <c r="AS7" s="19"/>
      <c r="AW7" s="23"/>
      <c r="AX7" s="23"/>
      <c r="AY7" s="23"/>
      <c r="AZ7" s="26"/>
      <c r="BA7" s="27"/>
      <c r="BB7" s="23"/>
      <c r="BC7" s="23"/>
      <c r="BD7" s="23"/>
      <c r="BE7" s="23"/>
      <c r="BF7" s="83"/>
      <c r="BG7" s="19"/>
      <c r="BK7" s="23"/>
      <c r="BL7" s="23"/>
      <c r="BM7" s="23"/>
      <c r="BN7" s="26"/>
      <c r="BO7" s="27"/>
      <c r="BP7" s="23"/>
      <c r="BQ7" s="23"/>
      <c r="BR7" s="23"/>
      <c r="BS7" s="23"/>
      <c r="BT7" s="83"/>
      <c r="BU7" s="19"/>
      <c r="BY7" s="23"/>
      <c r="BZ7" s="23"/>
      <c r="CA7" s="23"/>
      <c r="CB7" s="26"/>
      <c r="CC7" s="27"/>
      <c r="CD7" s="23"/>
      <c r="CE7" s="23"/>
      <c r="CF7" s="23"/>
      <c r="CG7" s="23"/>
      <c r="CH7" s="83"/>
      <c r="CI7" s="19"/>
      <c r="CM7" s="23"/>
      <c r="CN7" s="23"/>
      <c r="CO7" s="23"/>
      <c r="CP7" s="26"/>
      <c r="CQ7" s="27"/>
      <c r="CR7" s="23"/>
      <c r="CS7" s="23"/>
      <c r="CT7" s="23"/>
      <c r="CU7" s="23"/>
      <c r="CV7" s="83"/>
      <c r="CW7" s="19"/>
      <c r="DA7" s="23"/>
      <c r="DB7" s="23"/>
      <c r="DC7" s="23"/>
      <c r="DD7" s="26"/>
      <c r="DE7" s="27"/>
      <c r="DF7" s="23"/>
      <c r="DG7" s="23"/>
      <c r="DH7" s="23"/>
      <c r="DI7" s="23"/>
      <c r="DJ7" s="83"/>
      <c r="DK7" s="19"/>
      <c r="DO7" s="23"/>
      <c r="DP7" s="23"/>
      <c r="DQ7" s="23"/>
      <c r="DR7" s="26"/>
      <c r="DS7" s="27"/>
      <c r="DT7" s="23"/>
      <c r="DU7" s="23"/>
      <c r="DV7" s="23"/>
      <c r="DW7" s="23"/>
      <c r="DX7" s="83"/>
      <c r="DY7" s="19"/>
      <c r="EC7" s="23"/>
      <c r="ED7" s="23"/>
      <c r="EE7" s="23"/>
      <c r="EF7" s="26"/>
      <c r="EG7" s="27"/>
      <c r="EH7" s="23"/>
      <c r="EI7" s="23"/>
      <c r="EJ7" s="23"/>
      <c r="EK7" s="23"/>
      <c r="EL7" s="83"/>
      <c r="EM7" s="19"/>
      <c r="EQ7" s="23"/>
      <c r="ER7" s="23"/>
      <c r="ES7" s="23"/>
      <c r="ET7" s="26"/>
      <c r="EU7" s="27"/>
      <c r="EV7" s="23"/>
      <c r="EW7" s="23"/>
      <c r="EX7" s="23"/>
      <c r="EY7" s="23"/>
      <c r="EZ7" s="83"/>
      <c r="FA7" s="19"/>
      <c r="FE7" s="23"/>
      <c r="FF7" s="23"/>
      <c r="FG7" s="23"/>
      <c r="FH7" s="26"/>
      <c r="FI7" s="27"/>
      <c r="FJ7" s="23"/>
      <c r="FK7" s="23"/>
      <c r="FL7" s="23"/>
      <c r="FM7" s="23"/>
      <c r="FN7" s="83"/>
      <c r="FO7" s="19"/>
      <c r="FS7" s="23"/>
      <c r="FT7" s="23"/>
      <c r="FU7" s="23"/>
      <c r="FV7" s="26"/>
      <c r="FW7" s="27"/>
      <c r="FX7" s="23"/>
      <c r="FY7" s="23"/>
      <c r="FZ7" s="23"/>
      <c r="GA7" s="23"/>
      <c r="GB7" s="83"/>
      <c r="GC7" s="19"/>
      <c r="GG7" s="23"/>
      <c r="GH7" s="23"/>
      <c r="GI7" s="23"/>
      <c r="GJ7" s="26"/>
      <c r="GK7" s="27"/>
      <c r="GL7" s="23"/>
      <c r="GM7" s="23"/>
      <c r="GN7" s="23"/>
      <c r="GO7" s="23"/>
      <c r="GP7" s="83"/>
      <c r="GQ7" s="19"/>
      <c r="GU7" s="23"/>
      <c r="GV7" s="23"/>
      <c r="GW7" s="23"/>
      <c r="GX7" s="26"/>
      <c r="GY7" s="27"/>
      <c r="GZ7" s="23"/>
      <c r="HA7" s="23"/>
      <c r="HB7" s="23"/>
      <c r="HC7" s="23"/>
      <c r="HD7" s="83"/>
    </row>
    <row r="8" spans="2:212" x14ac:dyDescent="0.3">
      <c r="B8" s="6">
        <v>2025</v>
      </c>
      <c r="C8" s="19"/>
      <c r="G8" s="23"/>
      <c r="H8" s="23"/>
      <c r="I8" s="23"/>
      <c r="J8" s="26"/>
      <c r="K8" s="27"/>
      <c r="L8" s="23"/>
      <c r="M8" s="23"/>
      <c r="N8" s="23"/>
      <c r="O8" s="23"/>
      <c r="P8" s="83"/>
      <c r="Q8" s="19"/>
      <c r="U8" s="23"/>
      <c r="V8" s="23"/>
      <c r="W8" s="23"/>
      <c r="X8" s="26"/>
      <c r="Y8" s="27"/>
      <c r="Z8" s="23"/>
      <c r="AA8" s="23"/>
      <c r="AB8" s="23"/>
      <c r="AC8" s="23"/>
      <c r="AD8" s="83"/>
      <c r="AE8" s="19"/>
      <c r="AI8" s="23"/>
      <c r="AJ8" s="23"/>
      <c r="AK8" s="23"/>
      <c r="AL8" s="26"/>
      <c r="AM8" s="27"/>
      <c r="AN8" s="23"/>
      <c r="AO8" s="23"/>
      <c r="AP8" s="23"/>
      <c r="AQ8" s="23"/>
      <c r="AR8" s="83"/>
      <c r="AS8" s="19"/>
      <c r="AW8" s="23"/>
      <c r="AX8" s="23"/>
      <c r="AY8" s="23"/>
      <c r="AZ8" s="26"/>
      <c r="BA8" s="27"/>
      <c r="BB8" s="23"/>
      <c r="BC8" s="23"/>
      <c r="BD8" s="23"/>
      <c r="BE8" s="23"/>
      <c r="BF8" s="83"/>
      <c r="BG8" s="19"/>
      <c r="BK8" s="23"/>
      <c r="BL8" s="23"/>
      <c r="BM8" s="23"/>
      <c r="BN8" s="26"/>
      <c r="BO8" s="27"/>
      <c r="BP8" s="23"/>
      <c r="BQ8" s="23"/>
      <c r="BR8" s="23"/>
      <c r="BS8" s="23"/>
      <c r="BT8" s="83"/>
      <c r="BU8" s="19"/>
      <c r="BY8" s="23"/>
      <c r="BZ8" s="23"/>
      <c r="CA8" s="23"/>
      <c r="CB8" s="26"/>
      <c r="CC8" s="27"/>
      <c r="CD8" s="23"/>
      <c r="CE8" s="23"/>
      <c r="CF8" s="23"/>
      <c r="CG8" s="23"/>
      <c r="CH8" s="83"/>
      <c r="CI8" s="19"/>
      <c r="CM8" s="23"/>
      <c r="CN8" s="23"/>
      <c r="CO8" s="23"/>
      <c r="CP8" s="26"/>
      <c r="CQ8" s="27"/>
      <c r="CR8" s="23"/>
      <c r="CS8" s="23"/>
      <c r="CT8" s="23"/>
      <c r="CU8" s="23"/>
      <c r="CV8" s="83"/>
      <c r="CW8" s="19"/>
      <c r="DA8" s="23"/>
      <c r="DB8" s="23"/>
      <c r="DC8" s="23"/>
      <c r="DD8" s="26"/>
      <c r="DE8" s="27"/>
      <c r="DF8" s="23"/>
      <c r="DG8" s="23"/>
      <c r="DH8" s="23"/>
      <c r="DI8" s="23"/>
      <c r="DJ8" s="83"/>
      <c r="DK8" s="19"/>
      <c r="DO8" s="23"/>
      <c r="DP8" s="23"/>
      <c r="DQ8" s="23"/>
      <c r="DR8" s="26"/>
      <c r="DS8" s="27"/>
      <c r="DT8" s="23"/>
      <c r="DU8" s="23"/>
      <c r="DV8" s="23"/>
      <c r="DW8" s="23"/>
      <c r="DX8" s="83"/>
      <c r="DY8" s="19"/>
      <c r="EC8" s="23"/>
      <c r="ED8" s="23"/>
      <c r="EE8" s="23"/>
      <c r="EF8" s="26"/>
      <c r="EG8" s="27"/>
      <c r="EH8" s="23"/>
      <c r="EI8" s="23"/>
      <c r="EJ8" s="23"/>
      <c r="EK8" s="23"/>
      <c r="EL8" s="83"/>
      <c r="EM8" s="19"/>
      <c r="EQ8" s="23"/>
      <c r="ER8" s="23"/>
      <c r="ES8" s="23"/>
      <c r="ET8" s="26"/>
      <c r="EU8" s="27"/>
      <c r="EV8" s="23"/>
      <c r="EW8" s="23"/>
      <c r="EX8" s="23"/>
      <c r="EY8" s="23"/>
      <c r="EZ8" s="83"/>
      <c r="FA8" s="19"/>
      <c r="FE8" s="23"/>
      <c r="FF8" s="23"/>
      <c r="FG8" s="23"/>
      <c r="FH8" s="26"/>
      <c r="FI8" s="27"/>
      <c r="FJ8" s="23"/>
      <c r="FK8" s="23"/>
      <c r="FL8" s="23"/>
      <c r="FM8" s="23"/>
      <c r="FN8" s="83"/>
      <c r="FO8" s="19"/>
      <c r="FS8" s="23"/>
      <c r="FT8" s="23"/>
      <c r="FU8" s="23"/>
      <c r="FV8" s="26"/>
      <c r="FW8" s="27"/>
      <c r="FX8" s="23"/>
      <c r="FY8" s="23"/>
      <c r="FZ8" s="23"/>
      <c r="GA8" s="23"/>
      <c r="GB8" s="83"/>
      <c r="GC8" s="19"/>
      <c r="GG8" s="23"/>
      <c r="GH8" s="23"/>
      <c r="GI8" s="23"/>
      <c r="GJ8" s="26"/>
      <c r="GK8" s="27"/>
      <c r="GL8" s="23"/>
      <c r="GM8" s="23"/>
      <c r="GN8" s="23"/>
      <c r="GO8" s="23"/>
      <c r="GP8" s="83"/>
      <c r="GQ8" s="19"/>
      <c r="GU8" s="23"/>
      <c r="GV8" s="23"/>
      <c r="GW8" s="23"/>
      <c r="GX8" s="26"/>
      <c r="GY8" s="27"/>
      <c r="GZ8" s="23"/>
      <c r="HA8" s="23"/>
      <c r="HB8" s="23"/>
      <c r="HC8" s="23"/>
      <c r="HD8" s="83"/>
    </row>
    <row r="9" spans="2:212" x14ac:dyDescent="0.3">
      <c r="B9" s="6">
        <v>2026</v>
      </c>
      <c r="C9" s="19"/>
      <c r="G9" s="23"/>
      <c r="H9" s="23"/>
      <c r="I9" s="23"/>
      <c r="J9" s="26"/>
      <c r="K9" s="27"/>
      <c r="L9" s="23"/>
      <c r="M9" s="23"/>
      <c r="N9" s="23"/>
      <c r="O9" s="23"/>
      <c r="P9" s="83"/>
      <c r="Q9" s="19"/>
      <c r="U9" s="23"/>
      <c r="V9" s="23"/>
      <c r="W9" s="23"/>
      <c r="X9" s="26"/>
      <c r="Y9" s="27"/>
      <c r="Z9" s="23"/>
      <c r="AA9" s="23"/>
      <c r="AB9" s="23"/>
      <c r="AC9" s="23"/>
      <c r="AD9" s="83"/>
      <c r="AE9" s="19"/>
      <c r="AI9" s="23"/>
      <c r="AJ9" s="23"/>
      <c r="AK9" s="23"/>
      <c r="AL9" s="26"/>
      <c r="AM9" s="27"/>
      <c r="AN9" s="23"/>
      <c r="AO9" s="23"/>
      <c r="AP9" s="23"/>
      <c r="AQ9" s="23"/>
      <c r="AR9" s="83"/>
      <c r="AS9" s="19"/>
      <c r="AW9" s="23"/>
      <c r="AX9" s="23"/>
      <c r="AY9" s="23"/>
      <c r="AZ9" s="26"/>
      <c r="BA9" s="27"/>
      <c r="BB9" s="23"/>
      <c r="BC9" s="23"/>
      <c r="BD9" s="23"/>
      <c r="BE9" s="23"/>
      <c r="BF9" s="83"/>
      <c r="BG9" s="19"/>
      <c r="BK9" s="23"/>
      <c r="BL9" s="23"/>
      <c r="BM9" s="23"/>
      <c r="BN9" s="26"/>
      <c r="BO9" s="27"/>
      <c r="BP9" s="23"/>
      <c r="BQ9" s="23"/>
      <c r="BR9" s="23"/>
      <c r="BS9" s="23"/>
      <c r="BT9" s="83"/>
      <c r="BU9" s="19"/>
      <c r="BY9" s="23"/>
      <c r="BZ9" s="23"/>
      <c r="CA9" s="23"/>
      <c r="CB9" s="26"/>
      <c r="CC9" s="27"/>
      <c r="CD9" s="23"/>
      <c r="CE9" s="23"/>
      <c r="CF9" s="23"/>
      <c r="CG9" s="23"/>
      <c r="CH9" s="83"/>
      <c r="CI9" s="19"/>
      <c r="CM9" s="23"/>
      <c r="CN9" s="23"/>
      <c r="CO9" s="23"/>
      <c r="CP9" s="26"/>
      <c r="CQ9" s="27"/>
      <c r="CR9" s="23"/>
      <c r="CS9" s="23"/>
      <c r="CT9" s="23"/>
      <c r="CU9" s="23"/>
      <c r="CV9" s="83"/>
      <c r="CW9" s="19"/>
      <c r="DA9" s="23"/>
      <c r="DB9" s="23"/>
      <c r="DC9" s="23"/>
      <c r="DD9" s="26"/>
      <c r="DE9" s="27"/>
      <c r="DF9" s="23"/>
      <c r="DG9" s="23"/>
      <c r="DH9" s="23"/>
      <c r="DI9" s="23"/>
      <c r="DJ9" s="83"/>
      <c r="DK9" s="19"/>
      <c r="DO9" s="23"/>
      <c r="DP9" s="23"/>
      <c r="DQ9" s="23"/>
      <c r="DR9" s="26"/>
      <c r="DS9" s="27"/>
      <c r="DT9" s="23"/>
      <c r="DU9" s="23"/>
      <c r="DV9" s="23"/>
      <c r="DW9" s="23"/>
      <c r="DX9" s="83"/>
      <c r="DY9" s="19"/>
      <c r="EC9" s="23"/>
      <c r="ED9" s="23"/>
      <c r="EE9" s="23"/>
      <c r="EF9" s="26"/>
      <c r="EG9" s="27"/>
      <c r="EH9" s="23"/>
      <c r="EI9" s="23"/>
      <c r="EJ9" s="23"/>
      <c r="EK9" s="23"/>
      <c r="EL9" s="83"/>
      <c r="EM9" s="19"/>
      <c r="EQ9" s="23"/>
      <c r="ER9" s="23"/>
      <c r="ES9" s="23"/>
      <c r="ET9" s="26"/>
      <c r="EU9" s="27"/>
      <c r="EV9" s="23"/>
      <c r="EW9" s="23"/>
      <c r="EX9" s="23"/>
      <c r="EY9" s="23"/>
      <c r="EZ9" s="83"/>
      <c r="FA9" s="19"/>
      <c r="FE9" s="23"/>
      <c r="FF9" s="23"/>
      <c r="FG9" s="23"/>
      <c r="FH9" s="26"/>
      <c r="FI9" s="27"/>
      <c r="FJ9" s="23"/>
      <c r="FK9" s="23"/>
      <c r="FL9" s="23"/>
      <c r="FM9" s="23"/>
      <c r="FN9" s="83"/>
      <c r="FO9" s="19"/>
      <c r="FS9" s="23"/>
      <c r="FT9" s="23"/>
      <c r="FU9" s="23"/>
      <c r="FV9" s="26"/>
      <c r="FW9" s="27"/>
      <c r="FX9" s="23"/>
      <c r="FY9" s="23"/>
      <c r="FZ9" s="23"/>
      <c r="GA9" s="23"/>
      <c r="GB9" s="83"/>
      <c r="GC9" s="19"/>
      <c r="GG9" s="23"/>
      <c r="GH9" s="23"/>
      <c r="GI9" s="23"/>
      <c r="GJ9" s="26"/>
      <c r="GK9" s="27"/>
      <c r="GL9" s="23"/>
      <c r="GM9" s="23"/>
      <c r="GN9" s="23"/>
      <c r="GO9" s="23"/>
      <c r="GP9" s="83"/>
      <c r="GQ9" s="19"/>
      <c r="GU9" s="23"/>
      <c r="GV9" s="23"/>
      <c r="GW9" s="23"/>
      <c r="GX9" s="26"/>
      <c r="GY9" s="27"/>
      <c r="GZ9" s="23"/>
      <c r="HA9" s="23"/>
      <c r="HB9" s="23"/>
      <c r="HC9" s="23"/>
      <c r="HD9" s="83"/>
    </row>
    <row r="10" spans="2:212" x14ac:dyDescent="0.3">
      <c r="B10" s="6">
        <v>2027</v>
      </c>
      <c r="C10" s="19"/>
      <c r="G10" s="23"/>
      <c r="H10" s="23"/>
      <c r="I10" s="23"/>
      <c r="J10" s="26"/>
      <c r="K10" s="27"/>
      <c r="L10" s="23"/>
      <c r="M10" s="23"/>
      <c r="N10" s="23"/>
      <c r="O10" s="23"/>
      <c r="P10" s="83"/>
      <c r="Q10" s="19"/>
      <c r="U10" s="23"/>
      <c r="V10" s="23"/>
      <c r="W10" s="23"/>
      <c r="X10" s="26"/>
      <c r="Y10" s="27"/>
      <c r="Z10" s="23"/>
      <c r="AA10" s="23"/>
      <c r="AB10" s="23"/>
      <c r="AC10" s="23"/>
      <c r="AD10" s="83"/>
      <c r="AE10" s="19"/>
      <c r="AI10" s="23"/>
      <c r="AJ10" s="23"/>
      <c r="AK10" s="23"/>
      <c r="AL10" s="26"/>
      <c r="AM10" s="27"/>
      <c r="AN10" s="23"/>
      <c r="AO10" s="23"/>
      <c r="AP10" s="23"/>
      <c r="AQ10" s="23"/>
      <c r="AR10" s="83"/>
      <c r="AS10" s="19"/>
      <c r="AW10" s="23"/>
      <c r="AX10" s="23"/>
      <c r="AY10" s="23"/>
      <c r="AZ10" s="26"/>
      <c r="BA10" s="27"/>
      <c r="BB10" s="23"/>
      <c r="BC10" s="23"/>
      <c r="BD10" s="23"/>
      <c r="BE10" s="23"/>
      <c r="BF10" s="83"/>
      <c r="BG10" s="19"/>
      <c r="BK10" s="23"/>
      <c r="BL10" s="23"/>
      <c r="BM10" s="23"/>
      <c r="BN10" s="26"/>
      <c r="BO10" s="27"/>
      <c r="BP10" s="23"/>
      <c r="BQ10" s="23"/>
      <c r="BR10" s="23"/>
      <c r="BS10" s="23"/>
      <c r="BT10" s="83"/>
      <c r="BU10" s="19"/>
      <c r="BY10" s="23"/>
      <c r="BZ10" s="23"/>
      <c r="CA10" s="23"/>
      <c r="CB10" s="26"/>
      <c r="CC10" s="27"/>
      <c r="CD10" s="23"/>
      <c r="CE10" s="23"/>
      <c r="CF10" s="23"/>
      <c r="CG10" s="23"/>
      <c r="CH10" s="83"/>
      <c r="CI10" s="19"/>
      <c r="CM10" s="23"/>
      <c r="CN10" s="23"/>
      <c r="CO10" s="23"/>
      <c r="CP10" s="26"/>
      <c r="CQ10" s="27"/>
      <c r="CR10" s="23"/>
      <c r="CS10" s="23"/>
      <c r="CT10" s="23"/>
      <c r="CU10" s="23"/>
      <c r="CV10" s="83"/>
      <c r="CW10" s="19"/>
      <c r="DA10" s="23"/>
      <c r="DB10" s="23"/>
      <c r="DC10" s="23"/>
      <c r="DD10" s="26"/>
      <c r="DE10" s="27"/>
      <c r="DF10" s="23"/>
      <c r="DG10" s="23"/>
      <c r="DH10" s="23"/>
      <c r="DI10" s="23"/>
      <c r="DJ10" s="83"/>
      <c r="DK10" s="19"/>
      <c r="DO10" s="23"/>
      <c r="DP10" s="23"/>
      <c r="DQ10" s="23"/>
      <c r="DR10" s="26"/>
      <c r="DS10" s="27"/>
      <c r="DT10" s="23"/>
      <c r="DU10" s="23"/>
      <c r="DV10" s="23"/>
      <c r="DW10" s="23"/>
      <c r="DX10" s="83"/>
      <c r="DY10" s="19"/>
      <c r="EC10" s="23"/>
      <c r="ED10" s="23"/>
      <c r="EE10" s="23"/>
      <c r="EF10" s="26"/>
      <c r="EG10" s="27"/>
      <c r="EH10" s="23"/>
      <c r="EI10" s="23"/>
      <c r="EJ10" s="23"/>
      <c r="EK10" s="23"/>
      <c r="EL10" s="83"/>
      <c r="EM10" s="19"/>
      <c r="EQ10" s="23"/>
      <c r="ER10" s="23"/>
      <c r="ES10" s="23"/>
      <c r="ET10" s="26"/>
      <c r="EU10" s="27"/>
      <c r="EV10" s="23"/>
      <c r="EW10" s="23"/>
      <c r="EX10" s="23"/>
      <c r="EY10" s="23"/>
      <c r="EZ10" s="83"/>
      <c r="FA10" s="19"/>
      <c r="FE10" s="23"/>
      <c r="FF10" s="23"/>
      <c r="FG10" s="23"/>
      <c r="FH10" s="26"/>
      <c r="FI10" s="27"/>
      <c r="FJ10" s="23"/>
      <c r="FK10" s="23"/>
      <c r="FL10" s="23"/>
      <c r="FM10" s="23"/>
      <c r="FN10" s="83"/>
      <c r="FO10" s="19"/>
      <c r="FS10" s="23"/>
      <c r="FT10" s="23"/>
      <c r="FU10" s="23"/>
      <c r="FV10" s="26"/>
      <c r="FW10" s="27"/>
      <c r="FX10" s="23"/>
      <c r="FY10" s="23"/>
      <c r="FZ10" s="23"/>
      <c r="GA10" s="23"/>
      <c r="GB10" s="83"/>
      <c r="GC10" s="19"/>
      <c r="GG10" s="23"/>
      <c r="GH10" s="23"/>
      <c r="GI10" s="23"/>
      <c r="GJ10" s="26"/>
      <c r="GK10" s="27"/>
      <c r="GL10" s="23"/>
      <c r="GM10" s="23"/>
      <c r="GN10" s="23"/>
      <c r="GO10" s="23"/>
      <c r="GP10" s="83"/>
      <c r="GQ10" s="19"/>
      <c r="GU10" s="23"/>
      <c r="GV10" s="23"/>
      <c r="GW10" s="23"/>
      <c r="GX10" s="26"/>
      <c r="GY10" s="27"/>
      <c r="GZ10" s="23"/>
      <c r="HA10" s="23"/>
      <c r="HB10" s="23"/>
      <c r="HC10" s="23"/>
      <c r="HD10" s="83"/>
    </row>
    <row r="11" spans="2:212" x14ac:dyDescent="0.3">
      <c r="B11" s="6">
        <v>2028</v>
      </c>
      <c r="C11" s="84">
        <f>'Health - Mortality'!AA9-'Health - Mortality'!L9</f>
        <v>144.94792407560544</v>
      </c>
      <c r="D11" s="80">
        <f t="shared" ref="D11:D30" si="0">$C11*$G$44</f>
        <v>24.107305944138123</v>
      </c>
      <c r="E11" s="80">
        <f t="shared" ref="E11:E30" si="1">$C11*$G$45</f>
        <v>120.84061813146732</v>
      </c>
      <c r="F11" s="80">
        <f t="shared" ref="F11:F30" si="2">(D11*$C$40)+(E11*$C$41)</f>
        <v>117.65497332889731</v>
      </c>
      <c r="G11" s="95">
        <f t="shared" ref="G11:G30" si="3">$L$39*$F11/1000000</f>
        <v>8.1534896516925824E-5</v>
      </c>
      <c r="H11" s="95">
        <f t="shared" ref="H11:H30" si="4">$L$41*$F11/1000000</f>
        <v>2.1497936193664085E-7</v>
      </c>
      <c r="I11" s="95">
        <f t="shared" ref="I11:I30" si="5">$L$40*$F11/1000000</f>
        <v>4.8238539064847897E-7</v>
      </c>
      <c r="J11" s="118">
        <f t="shared" ref="J11:J30" si="6">$L$38*$F11/1000000</f>
        <v>4.3344092174365766E-2</v>
      </c>
      <c r="K11" s="28">
        <f>G11*$AA44</f>
        <v>1.4839351166080499</v>
      </c>
      <c r="L11" s="29">
        <f>H11*$AB44</f>
        <v>1.0641478415863721E-2</v>
      </c>
      <c r="M11" s="29">
        <f>I11*$AC44</f>
        <v>0.42420971253627243</v>
      </c>
      <c r="N11" s="29">
        <f>J11*$AD44</f>
        <v>2.6873337148106775</v>
      </c>
      <c r="O11" s="23">
        <f t="shared" ref="O11" si="7">SUM(K11:M11)</f>
        <v>1.9187863075601861</v>
      </c>
      <c r="P11" s="83">
        <f>SUM(K11:N11)</f>
        <v>4.6061200223708632</v>
      </c>
      <c r="Q11" s="84">
        <f>'Health - Mortality'!AB9-'Health - Mortality'!M9</f>
        <v>26.415055787789242</v>
      </c>
      <c r="R11" s="80">
        <f t="shared" ref="R11:R30" si="8">$Q11*$G$44</f>
        <v>4.3932732080768293</v>
      </c>
      <c r="S11" s="80">
        <f t="shared" ref="S11:S30" si="9">$Q11*$G$45</f>
        <v>22.021782579712415</v>
      </c>
      <c r="T11" s="80">
        <f t="shared" ref="T11:T30" si="10">(R11*$C$40)+(S11*$C$41)</f>
        <v>21.441236250976623</v>
      </c>
      <c r="U11" s="23">
        <f t="shared" ref="U11:U30" si="11">$L$39*$T11/1000000</f>
        <v>1.4858776721926798E-5</v>
      </c>
      <c r="V11" s="23">
        <f t="shared" ref="V11:V30" si="12">$L$41*$T11/1000000</f>
        <v>3.9177462354118815E-8</v>
      </c>
      <c r="W11" s="23">
        <f t="shared" ref="W11:W30" si="13">$L$40*$T11/1000000</f>
        <v>8.7909068629004157E-8</v>
      </c>
      <c r="X11" s="26">
        <f t="shared" ref="X11:X30" si="14">$L$38*$T11/1000000</f>
        <v>7.8989514348597883E-3</v>
      </c>
      <c r="Y11" s="28">
        <f t="shared" ref="Y11:Y30" si="15">U11*$AA44</f>
        <v>0.27042973633906769</v>
      </c>
      <c r="Z11" s="29">
        <f t="shared" ref="Z11:Z30" si="16">V11*$AB44</f>
        <v>1.9392843865288813E-3</v>
      </c>
      <c r="AA11" s="29">
        <f t="shared" ref="AA11:AA30" si="17">W11*$AC44</f>
        <v>7.730723495234626E-2</v>
      </c>
      <c r="AB11" s="29">
        <f t="shared" ref="AB11:AB30" si="18">X11*$AD44</f>
        <v>0.48973498896130685</v>
      </c>
      <c r="AC11" s="23">
        <f>SUM(Y11:AA11)</f>
        <v>0.34967625567794286</v>
      </c>
      <c r="AD11" s="83">
        <f>SUM(Y11:AB11)</f>
        <v>0.83941124463924965</v>
      </c>
      <c r="AE11" s="84">
        <f>'Health - Mortality'!AC9-'Health - Mortality'!N9</f>
        <v>20.073727135978174</v>
      </c>
      <c r="AF11" s="80">
        <f t="shared" ref="AF11:AF30" si="19">AE11*$G$44</f>
        <v>3.3386023607606612</v>
      </c>
      <c r="AG11" s="80">
        <f t="shared" ref="AG11:AG30" si="20">AE11*$G$45</f>
        <v>16.735124775217514</v>
      </c>
      <c r="AH11" s="80">
        <f t="shared" ref="AH11:AH30" si="21">(AF11*$C$40)+(AG11*$C$41)</f>
        <v>16.293947263178211</v>
      </c>
      <c r="AI11" s="23">
        <f t="shared" ref="AI11:AI30" si="22">$L$39*AH11/1000000</f>
        <v>1.1291705453382501E-5</v>
      </c>
      <c r="AJ11" s="23">
        <f t="shared" ref="AJ11:AJ30" si="23">$L$41*AH11/1000000</f>
        <v>2.977232739898966E-8</v>
      </c>
      <c r="AK11" s="23">
        <f t="shared" ref="AK11:AK30" si="24">$L$40*AH11/1000000</f>
        <v>6.6805183779030678E-8</v>
      </c>
      <c r="AL11" s="26">
        <f t="shared" ref="AL11:AL30" si="25">$L$38*AH11/1000000</f>
        <v>6.0026901717548523E-3</v>
      </c>
      <c r="AM11" s="28">
        <f t="shared" ref="AM11:AM30" si="26">AI11*$AA44</f>
        <v>0.2055090392515615</v>
      </c>
      <c r="AN11" s="29">
        <f t="shared" ref="AN11:AN30" si="27">AJ11*$AB44</f>
        <v>1.4737302062499881E-3</v>
      </c>
      <c r="AO11" s="29">
        <f t="shared" ref="AO11:AO30" si="28">AK11*$AC44</f>
        <v>5.8748478615279577E-2</v>
      </c>
      <c r="AP11" s="29">
        <f t="shared" ref="AP11:AP30" si="29">AL11*$AD44</f>
        <v>0.37216679064880082</v>
      </c>
      <c r="AQ11" s="23">
        <f>SUM(AM11:AO11)</f>
        <v>0.26573124807309106</v>
      </c>
      <c r="AR11" s="83">
        <f>SUM(AM11:AP11)</f>
        <v>0.63789803872189188</v>
      </c>
      <c r="AS11" s="84">
        <f>'Health - Mortality'!AD9-'Health - Mortality'!O9</f>
        <v>7.3933440517531892</v>
      </c>
      <c r="AT11" s="80">
        <f t="shared" ref="AT11:AT30" si="30">AS11*$G$44</f>
        <v>1.2296389075080545</v>
      </c>
      <c r="AU11" s="80">
        <f t="shared" ref="AU11:AU30" si="31">AS11*$G$45</f>
        <v>6.1637051442451352</v>
      </c>
      <c r="AV11" s="80">
        <f t="shared" ref="AV11:AV30" si="32">(AT11*$C$40)+(AU11*$C$41)</f>
        <v>6.0012152831292616</v>
      </c>
      <c r="AW11" s="23">
        <f t="shared" ref="AW11:AW30" si="33">$L$39*AV11/1000000</f>
        <v>4.1588421912085778E-6</v>
      </c>
      <c r="AX11" s="23">
        <f t="shared" ref="AX11:AX30" si="34">$L$41*AV11/1000000</f>
        <v>1.0965430494850782E-8</v>
      </c>
      <c r="AY11" s="23">
        <f t="shared" ref="AY11:AY30" si="35">$L$40*AV11/1000000</f>
        <v>2.4604982660829974E-8</v>
      </c>
      <c r="AZ11" s="26">
        <f t="shared" ref="AZ11:AZ30" si="36">$L$38*AV11/1000000</f>
        <v>2.2108477103048199E-3</v>
      </c>
      <c r="BA11" s="28">
        <f t="shared" ref="BA11:BA30" si="37">AW11*$AA44</f>
        <v>7.5690927879996109E-2</v>
      </c>
      <c r="BB11" s="29">
        <f t="shared" ref="BB11:BB30" si="38">AX11*$AB44</f>
        <v>5.4278880949511373E-4</v>
      </c>
      <c r="BC11" s="29">
        <f t="shared" ref="BC11:BC30" si="39">AY11*$AC44</f>
        <v>2.1637621751933879E-2</v>
      </c>
      <c r="BD11" s="29">
        <f t="shared" ref="BD11:BD30" si="40">AZ11*$AD44</f>
        <v>0.13707255803889884</v>
      </c>
      <c r="BE11" s="23">
        <f>SUM(BA11:BC11)</f>
        <v>9.7871338441425093E-2</v>
      </c>
      <c r="BF11" s="83">
        <f>SUM(BA11:BD11)</f>
        <v>0.23494389648032393</v>
      </c>
      <c r="BG11" s="84">
        <f>'Health - Mortality'!AE9-'Health - Mortality'!P9</f>
        <v>6.2896337362888062</v>
      </c>
      <c r="BH11" s="80">
        <f t="shared" ref="BH11:BH30" si="41">BG11*$G$44</f>
        <v>1.046073103318113</v>
      </c>
      <c r="BI11" s="80">
        <f t="shared" ref="BI11:BI30" si="42">BG11*$G$45</f>
        <v>5.2435606329706932</v>
      </c>
      <c r="BJ11" s="80">
        <f t="shared" ref="BJ11:BJ30" si="43">(BH11*$C$40)+(BI11*$C$41)</f>
        <v>5.1053279597547165</v>
      </c>
      <c r="BK11" s="23">
        <f t="shared" ref="BK11:BK30" si="44">$L$39*BJ11/1000000</f>
        <v>3.5379922761100183E-6</v>
      </c>
      <c r="BL11" s="23">
        <f t="shared" ref="BL11:BL30" si="45">$L$41*BJ11/1000000</f>
        <v>9.3284636952596544E-9</v>
      </c>
      <c r="BM11" s="23">
        <f t="shared" ref="BM11:BM30" si="46">$L$40*BJ11/1000000</f>
        <v>2.0931844634994341E-8</v>
      </c>
      <c r="BN11" s="26">
        <f t="shared" ref="BN11:BN30" si="47">$L$38*BJ11/1000000</f>
        <v>1.8808028203736373E-3</v>
      </c>
      <c r="BO11" s="28">
        <f t="shared" ref="BO11:BO30" si="48">BK11*$AA44</f>
        <v>6.439145942520233E-2</v>
      </c>
      <c r="BP11" s="29">
        <f t="shared" ref="BP11:BP30" si="49">BL11*$AB44</f>
        <v>4.617589529153529E-4</v>
      </c>
      <c r="BQ11" s="29">
        <f t="shared" ref="BQ11:BQ30" si="50">BM11*$AC44</f>
        <v>1.8407464172014023E-2</v>
      </c>
      <c r="BR11" s="29">
        <f t="shared" ref="BR11:BR30" si="51">BN11*$AD44</f>
        <v>0.11660977486316551</v>
      </c>
      <c r="BS11" s="23">
        <f>SUM(BO11:BQ11)</f>
        <v>8.3260682550131707E-2</v>
      </c>
      <c r="BT11" s="83">
        <f>SUM(BO11:BR11)</f>
        <v>0.19987045741329723</v>
      </c>
      <c r="BU11" s="84">
        <f>'Health - Mortality'!AF9-'Health - Mortality'!Q9</f>
        <v>3.248846937123858</v>
      </c>
      <c r="BV11" s="80">
        <f t="shared" ref="BV11:BV30" si="52">BU11*$G$44</f>
        <v>0.54033852211686995</v>
      </c>
      <c r="BW11" s="80">
        <f t="shared" ref="BW11:BW30" si="53">BU11*$G$45</f>
        <v>2.708508415006988</v>
      </c>
      <c r="BX11" s="80">
        <f t="shared" ref="BX11:BX30" si="54">(BV11*$C$40)+(BW11*$C$41)</f>
        <v>2.6371057203799464</v>
      </c>
      <c r="BY11" s="23">
        <f t="shared" ref="BY11:BY30" si="55">$L$39*BX11/1000000</f>
        <v>1.8275142642233026E-6</v>
      </c>
      <c r="BZ11" s="23">
        <f t="shared" ref="BZ11:BZ30" si="56">$L$41*BX11/1000000</f>
        <v>4.8185239355921396E-9</v>
      </c>
      <c r="CA11" s="23">
        <f t="shared" ref="CA11:CA30" si="57">$L$40*BX11/1000000</f>
        <v>1.0812133453557781E-8</v>
      </c>
      <c r="CB11" s="26">
        <f t="shared" ref="CB11:CB30" si="58">$L$38*BX11/1000000</f>
        <v>9.7150974738797222E-4</v>
      </c>
      <c r="CC11" s="28">
        <f t="shared" ref="CC11:CC30" si="59">BY11*$AA44</f>
        <v>3.3260759608864106E-2</v>
      </c>
      <c r="CD11" s="29">
        <f t="shared" ref="CD11:CD30" si="60">BZ11*$AB44</f>
        <v>2.3851693481181092E-4</v>
      </c>
      <c r="CE11" s="29">
        <f t="shared" ref="CE11:CE30" si="61">CA11*$AC44</f>
        <v>9.5081901590587138E-3</v>
      </c>
      <c r="CF11" s="29">
        <f t="shared" ref="CF11:CF30" si="62">CB11*$AD44</f>
        <v>6.0233604338054275E-2</v>
      </c>
      <c r="CG11" s="23">
        <f>SUM(CC11:CE11)</f>
        <v>4.3007466702734629E-2</v>
      </c>
      <c r="CH11" s="83">
        <f>SUM(CC11:CF11)</f>
        <v>0.1032410710407889</v>
      </c>
      <c r="CI11" s="84">
        <f>'Health - Mortality'!AG9-'Health - Mortality'!R9</f>
        <v>143.30001854645343</v>
      </c>
      <c r="CJ11" s="80">
        <f t="shared" ref="CJ11:CJ30" si="63">CI11*$G$44</f>
        <v>23.833231216875504</v>
      </c>
      <c r="CK11" s="80">
        <f t="shared" ref="CK11:CK30" si="64">CI11*$G$45</f>
        <v>119.46678732957793</v>
      </c>
      <c r="CL11" s="80">
        <f t="shared" ref="CL11:CL30" si="65">(CJ11*$C$40)+(CK11*$C$41)</f>
        <v>116.31735995970003</v>
      </c>
      <c r="CM11" s="23">
        <f t="shared" ref="CM11:CM30" si="66">$L$39*CL11/1000000</f>
        <v>8.0607930452072116E-5</v>
      </c>
      <c r="CN11" s="23">
        <f t="shared" ref="CN11:CN30" si="67">$L$41*CL11/1000000</f>
        <v>2.125352725752494E-7</v>
      </c>
      <c r="CO11" s="23">
        <f t="shared" ref="CO11:CO30" si="68">$L$40*CL11/1000000</f>
        <v>4.769011758347702E-7</v>
      </c>
      <c r="CP11" s="26">
        <f t="shared" ref="CP11:CP30" si="69">$L$38*CL11/1000000</f>
        <v>4.285131540915349E-2</v>
      </c>
      <c r="CQ11" s="28">
        <f t="shared" ref="CQ11:CQ30" si="70">CM11*$AA44</f>
        <v>1.4670643342277125</v>
      </c>
      <c r="CR11" s="29">
        <f t="shared" ref="CR11:CR30" si="71">CN11*$AB44</f>
        <v>1.0520495992474845E-2</v>
      </c>
      <c r="CS11" s="29">
        <f t="shared" ref="CS11:CS30" si="72">CO11*$AC44</f>
        <v>0.4193868940290969</v>
      </c>
      <c r="CT11" s="29">
        <f t="shared" ref="CT11:CT30" si="73">CP11*$AD44</f>
        <v>2.6567815553675165</v>
      </c>
      <c r="CU11" s="23">
        <f>SUM(CQ11:CS11)</f>
        <v>1.8969717242492843</v>
      </c>
      <c r="CV11" s="83">
        <f>SUM(CQ11:CT11)</f>
        <v>4.5537532796168012</v>
      </c>
      <c r="CW11" s="84">
        <f>'Health - Mortality'!AH9-'Health - Mortality'!S9</f>
        <v>52.330827040372014</v>
      </c>
      <c r="CX11" s="80">
        <f t="shared" ref="CX11:CX30" si="74">CW11*$G$44</f>
        <v>8.7035069030308563</v>
      </c>
      <c r="CY11" s="80">
        <f t="shared" ref="CY11:CY30" si="75">CW11*$G$45</f>
        <v>43.627320137341158</v>
      </c>
      <c r="CZ11" s="80">
        <f t="shared" ref="CZ11:CZ30" si="76">(CX11*$C$40)+(CY11*$C$41)</f>
        <v>42.477200684175379</v>
      </c>
      <c r="DA11" s="23">
        <f t="shared" ref="DA11:DA30" si="77">$L$39*CZ11/1000000</f>
        <v>2.9436700074133535E-5</v>
      </c>
      <c r="DB11" s="23">
        <f t="shared" ref="DB11:DB30" si="78">$L$41*CZ11/1000000</f>
        <v>7.7614411372237501E-8</v>
      </c>
      <c r="DC11" s="23">
        <f t="shared" ref="DC11:DC30" si="79">$L$40*CZ11/1000000</f>
        <v>1.7415652280511906E-7</v>
      </c>
      <c r="DD11" s="26">
        <f t="shared" ref="DD11:DD30" si="80">$L$38*CZ11/1000000</f>
        <v>1.5648600732050207E-2</v>
      </c>
      <c r="DE11" s="28">
        <f t="shared" ref="DE11:DE30" si="81">DA11*$AA44</f>
        <v>0.53574794134923032</v>
      </c>
      <c r="DF11" s="29">
        <f t="shared" ref="DF11:DF30" si="82">DB11*$AB44</f>
        <v>3.8419133629257565E-3</v>
      </c>
      <c r="DG11" s="29">
        <f t="shared" ref="DG11:DG30" si="83">DC11*$AC44</f>
        <v>0.1531532461548217</v>
      </c>
      <c r="DH11" s="29">
        <f t="shared" ref="DH11:DH30" si="84">DD11*$AD44</f>
        <v>0.97021324538711284</v>
      </c>
      <c r="DI11" s="23">
        <f>SUM(DE11:DG11)</f>
        <v>0.69274310086697777</v>
      </c>
      <c r="DJ11" s="83">
        <f>SUM(DE11:DH11)</f>
        <v>1.6629563462540906</v>
      </c>
      <c r="DK11" s="84">
        <f>'Health - Mortality'!AI9-'Health - Mortality'!T9</f>
        <v>20.435553136583394</v>
      </c>
      <c r="DL11" s="80">
        <f t="shared" ref="DL11:DL30" si="85">DK11*$G$44</f>
        <v>3.3987801808347462</v>
      </c>
      <c r="DM11" s="80">
        <f t="shared" ref="DM11:DM30" si="86">DK11*$G$45</f>
        <v>17.036772955748649</v>
      </c>
      <c r="DN11" s="80">
        <f t="shared" ref="DN11:DN30" si="87">(DL11*$C$40)+(DM11*$C$41)</f>
        <v>16.587643283472396</v>
      </c>
      <c r="DO11" s="23">
        <f t="shared" ref="DO11:DO30" si="88">$L$39*DN11/1000000</f>
        <v>1.1495236795446369E-5</v>
      </c>
      <c r="DP11" s="23">
        <f t="shared" ref="DP11:DP30" si="89">$L$41*DN11/1000000</f>
        <v>3.0308969253216043E-8</v>
      </c>
      <c r="DQ11" s="23">
        <f t="shared" ref="DQ11:DQ30" si="90">$L$40*DN11/1000000</f>
        <v>6.8009337462236826E-8</v>
      </c>
      <c r="DR11" s="26">
        <f t="shared" ref="DR11:DR30" si="91">$L$38*DN11/1000000</f>
        <v>6.11088778563123E-3</v>
      </c>
      <c r="DS11" s="28">
        <f t="shared" ref="DS11:DS30" si="92">DO11*$AA44</f>
        <v>0.2092133096771239</v>
      </c>
      <c r="DT11" s="29">
        <f t="shared" ref="DT11:DT30" si="93">DP11*$AB44</f>
        <v>1.5002939780341942E-3</v>
      </c>
      <c r="DU11" s="29">
        <f t="shared" ref="DU11:DU30" si="94">DQ11*$AC44</f>
        <v>5.9807411364291067E-2</v>
      </c>
      <c r="DV11" s="29">
        <f t="shared" ref="DV11:DV30" si="95">DR11*$AD44</f>
        <v>0.37887504270913624</v>
      </c>
      <c r="DW11" s="23">
        <f>SUM(DS11:DU11)</f>
        <v>0.27052101501944914</v>
      </c>
      <c r="DX11" s="83">
        <f>SUM(DS11:DV11)</f>
        <v>0.64939605772858533</v>
      </c>
      <c r="DY11" s="84">
        <f>'Health - Mortality'!AJ9-'Health - Mortality'!U9</f>
        <v>33.772255910858576</v>
      </c>
      <c r="DZ11" s="80">
        <f t="shared" ref="DZ11:DZ30" si="96">DY11*$G$44</f>
        <v>5.6169007652853757</v>
      </c>
      <c r="EA11" s="80">
        <f t="shared" ref="EA11:EA30" si="97">DY11*$G$45</f>
        <v>28.1553551455732</v>
      </c>
      <c r="EB11" s="80">
        <f t="shared" ref="EB11:EB30" si="98">(DZ11*$C$40)+(EA11*$C$41)</f>
        <v>27.413113321831226</v>
      </c>
      <c r="EC11" s="23">
        <f t="shared" ref="EC11:EC30" si="99">$L$39*EB11/1000000</f>
        <v>1.8997287532029037E-5</v>
      </c>
      <c r="ED11" s="23">
        <f t="shared" ref="ED11:ED30" si="100">$L$41*EB11/1000000</f>
        <v>5.0089286018958799E-8</v>
      </c>
      <c r="EE11" s="23">
        <f t="shared" ref="EE11:EE30" si="101">$L$40*EB11/1000000</f>
        <v>1.1239376461950804E-7</v>
      </c>
      <c r="EF11" s="26">
        <f t="shared" ref="EF11:EF30" si="102">$L$38*EB11/1000000</f>
        <v>1.0098990947762622E-2</v>
      </c>
      <c r="EG11" s="28">
        <f t="shared" ref="EG11:EG30" si="103">EC11*$AA44</f>
        <v>0.34575063308292847</v>
      </c>
      <c r="EH11" s="29">
        <f t="shared" ref="EH11:EH30" si="104">ED11*$AB44</f>
        <v>2.4794196579384607E-3</v>
      </c>
      <c r="EI11" s="29">
        <f t="shared" ref="EI11:EI30" si="105">EE11*$AC44</f>
        <v>9.8839076606395362E-2</v>
      </c>
      <c r="EJ11" s="29">
        <f t="shared" ref="EJ11:EJ30" si="106">EF11*$AD44</f>
        <v>0.62613743876128258</v>
      </c>
      <c r="EK11" s="23">
        <f>SUM(EG11:EI11)</f>
        <v>0.44706912934726228</v>
      </c>
      <c r="EL11" s="83">
        <f>SUM(EG11:EJ11)</f>
        <v>1.073206568108545</v>
      </c>
      <c r="EM11" s="84">
        <f>'Health - Mortality'!AK9-'Health - Mortality'!V9</f>
        <v>4.882609772754364</v>
      </c>
      <c r="EN11" s="80">
        <f t="shared" ref="EN11:EN30" si="107">EM11*$G$44</f>
        <v>0.8120610788205006</v>
      </c>
      <c r="EO11" s="80">
        <f t="shared" ref="EO11:EO30" si="108">EM11*$G$45</f>
        <v>4.0705486939338638</v>
      </c>
      <c r="EP11" s="80">
        <f t="shared" ref="EP11:EP30" si="109">(EN11*$C$40)+(EO11*$C$41)</f>
        <v>3.9632393927158671</v>
      </c>
      <c r="EQ11" s="23">
        <f t="shared" ref="EQ11:EQ30" si="110">$L$39*EP11/1000000</f>
        <v>2.7465248991520959E-6</v>
      </c>
      <c r="ER11" s="23">
        <f t="shared" ref="ER11:ER30" si="111">$L$41*EP11/1000000</f>
        <v>7.241637575884378E-9</v>
      </c>
      <c r="ES11" s="23">
        <f t="shared" ref="ES11:ES30" si="112">$L$40*EP11/1000000</f>
        <v>1.6249281510135058E-8</v>
      </c>
      <c r="ET11" s="26">
        <f t="shared" ref="ET11:ET30" si="113">$L$38*EP11/1000000</f>
        <v>1.4600573922765253E-3</v>
      </c>
      <c r="EU11" s="28">
        <f t="shared" ref="EU11:EU30" si="114">EQ11*$AA44</f>
        <v>4.9986753164568146E-2</v>
      </c>
      <c r="EV11" s="29">
        <f t="shared" ref="EV11:EV30" si="115">ER11*$AB44</f>
        <v>3.5846106000627672E-4</v>
      </c>
      <c r="EW11" s="29">
        <f t="shared" ref="EW11:EW30" si="116">ES11*$AC44</f>
        <v>1.4289618160012769E-2</v>
      </c>
      <c r="EX11" s="29">
        <f t="shared" ref="EX11:EX30" si="117">ET11*$AD44</f>
        <v>9.0523558321144573E-2</v>
      </c>
      <c r="EY11" s="23">
        <f>SUM(EU11:EW11)</f>
        <v>6.4634832384587185E-2</v>
      </c>
      <c r="EZ11" s="83">
        <f>SUM(EU11:EX11)</f>
        <v>0.15515839070573176</v>
      </c>
      <c r="FA11" s="84">
        <f>'Health - Mortality'!AL9-'Health - Mortality'!W9</f>
        <v>23.168116076771071</v>
      </c>
      <c r="FB11" s="80">
        <f t="shared" ref="FB11:FB30" si="118">FA11*$G$44</f>
        <v>3.8532518901112267</v>
      </c>
      <c r="FC11" s="80">
        <f t="shared" ref="FC11:FC30" si="119">FA11*$G$45</f>
        <v>19.314864186659843</v>
      </c>
      <c r="FD11" s="80">
        <f t="shared" ref="FD11:FD30" si="120">(FB11*$C$40)+(FC11*$C$41)</f>
        <v>18.805678635807752</v>
      </c>
      <c r="FE11" s="23">
        <f t="shared" ref="FE11:FE30" si="121">$L$39*FD11/1000000</f>
        <v>1.3032335294614771E-5</v>
      </c>
      <c r="FF11" s="23">
        <f t="shared" ref="FF11:FF30" si="122">$L$41*FD11/1000000</f>
        <v>3.4361767118929827E-8</v>
      </c>
      <c r="FG11" s="23">
        <f t="shared" ref="FG11:FG30" si="123">$L$40*FD11/1000000</f>
        <v>7.7103282406811782E-8</v>
      </c>
      <c r="FH11" s="26">
        <f t="shared" ref="FH11:FH30" si="124">$L$38*FD11/1000000</f>
        <v>6.9280120094315752E-3</v>
      </c>
      <c r="FI11" s="28">
        <f t="shared" ref="FI11:FI30" si="125">FE11*$AA44</f>
        <v>0.23718850236198882</v>
      </c>
      <c r="FJ11" s="29">
        <f t="shared" ref="FJ11:FJ30" si="126">FF11*$AB44</f>
        <v>1.7009074723870264E-3</v>
      </c>
      <c r="FK11" s="29">
        <f t="shared" ref="FK11:FK30" si="127">FG11*$AC44</f>
        <v>6.7804626548550281E-2</v>
      </c>
      <c r="FL11" s="29">
        <f t="shared" ref="FL11:FL30" si="128">FH11*$AD44</f>
        <v>0.42953674458475766</v>
      </c>
      <c r="FM11" s="23">
        <f>SUM(FI11:FK11)</f>
        <v>0.30669403638292614</v>
      </c>
      <c r="FN11" s="83">
        <f>SUM(FI11:FL11)</f>
        <v>0.7362307809676838</v>
      </c>
      <c r="FO11" s="84">
        <f>'Health - Mortality'!AM9-'Health - Mortality'!X9</f>
        <v>13.803834457314849</v>
      </c>
      <c r="FP11" s="80">
        <f t="shared" ref="FP11:FP30" si="129">FO11*$G$44</f>
        <v>2.2958125312036133</v>
      </c>
      <c r="FQ11" s="80">
        <f t="shared" ref="FQ11:FQ30" si="130">FO11*$G$45</f>
        <v>11.508021926111235</v>
      </c>
      <c r="FR11" s="80">
        <f t="shared" ref="FR11:FR30" si="131">(FP11*$C$40)+(FQ11*$C$41)</f>
        <v>11.204643221138927</v>
      </c>
      <c r="FS11" s="23">
        <f t="shared" ref="FS11:FS30" si="132">$L$39*FR11/1000000</f>
        <v>7.7648177522492748E-6</v>
      </c>
      <c r="FT11" s="23">
        <f t="shared" ref="FT11:FT30" si="133">$L$41*FR11/1000000</f>
        <v>2.0473142632692567E-8</v>
      </c>
      <c r="FU11" s="23">
        <f t="shared" ref="FU11:FU30" si="134">$L$40*FR11/1000000</f>
        <v>4.5939037206669601E-8</v>
      </c>
      <c r="FV11" s="26">
        <f t="shared" ref="FV11:FV30" si="135">$L$38*FR11/1000000</f>
        <v>4.1277905626675802E-3</v>
      </c>
      <c r="FW11" s="28">
        <f t="shared" ref="FW11:FW30" si="136">FS11*$AA44</f>
        <v>0.14131968309093682</v>
      </c>
      <c r="FX11" s="29">
        <f t="shared" ref="FX11:FX30" si="137">FT11*$AB44</f>
        <v>1.0134205603182821E-3</v>
      </c>
      <c r="FY11" s="29">
        <f t="shared" ref="FY11:FY30" si="138">FU11*$AC44</f>
        <v>4.0398789319545249E-2</v>
      </c>
      <c r="FZ11" s="29">
        <f t="shared" ref="FZ11:FZ30" si="139">FV11*$AD44</f>
        <v>0.25592301488538999</v>
      </c>
      <c r="GA11" s="23">
        <f>SUM(FW11:FY11)</f>
        <v>0.18273189297080034</v>
      </c>
      <c r="GB11" s="83">
        <f>SUM(FW11:FZ11)</f>
        <v>0.43865490785619032</v>
      </c>
      <c r="GC11" s="84">
        <f>'Health - Mortality'!AN9-'Health - Mortality'!Y9</f>
        <v>42.182004488559187</v>
      </c>
      <c r="GD11" s="80">
        <f t="shared" ref="GD11:GD30" si="140">GC11*$G$44</f>
        <v>7.015585038750106</v>
      </c>
      <c r="GE11" s="80">
        <f t="shared" ref="GE11:GE30" si="141">GC11*$G$45</f>
        <v>35.166419449809084</v>
      </c>
      <c r="GF11" s="80">
        <f t="shared" ref="GF11:GF30" si="142">(GD11*$C$40)+(GE11*$C$41)</f>
        <v>34.239349371241616</v>
      </c>
      <c r="GG11" s="23">
        <f t="shared" ref="GG11:GG30" si="143">$L$39*GF11/1000000</f>
        <v>2.3727869114270435E-5</v>
      </c>
      <c r="GH11" s="23">
        <f t="shared" ref="GH11:GH30" si="144">$L$41*GF11/1000000</f>
        <v>6.2562195823024917E-8</v>
      </c>
      <c r="GI11" s="23">
        <f t="shared" ref="GI11:GI30" si="145">$L$40*GF11/1000000</f>
        <v>1.4038133242209063E-7</v>
      </c>
      <c r="GJ11" s="26">
        <f t="shared" ref="GJ11:GJ30" si="146">$L$38*GF11/1000000</f>
        <v>1.261377630836541E-2</v>
      </c>
      <c r="GK11" s="28">
        <f t="shared" ref="GK11:GK30" si="147">GG11*$AA44</f>
        <v>0.43184721787972191</v>
      </c>
      <c r="GL11" s="29">
        <f t="shared" ref="GL11:GL30" si="148">GH11*$AB44</f>
        <v>3.0968286932397332E-3</v>
      </c>
      <c r="GM11" s="29">
        <f t="shared" ref="GM11:GM30" si="149">GI11*$AC44</f>
        <v>0.1234513437319865</v>
      </c>
      <c r="GN11" s="29">
        <f t="shared" ref="GN11:GN30" si="150">GJ11*$AD44</f>
        <v>0.7820541311186554</v>
      </c>
      <c r="GO11" s="23">
        <f>SUM(GK11:GM11)</f>
        <v>0.55839539030494811</v>
      </c>
      <c r="GP11" s="83">
        <f>SUM(GK11:GN11)</f>
        <v>1.3404495214236034</v>
      </c>
      <c r="GQ11" s="84">
        <f>'Health - Mortality'!AO9-'Health - Mortality'!Z9</f>
        <v>44.35819934363667</v>
      </c>
      <c r="GR11" s="80">
        <f t="shared" ref="GR11:GR30" si="151">GQ11*$G$44</f>
        <v>7.3775232693248869</v>
      </c>
      <c r="GS11" s="80">
        <f t="shared" ref="GS11:GS30" si="152">GQ11*$G$45</f>
        <v>36.980676074311781</v>
      </c>
      <c r="GT11" s="80">
        <f t="shared" ref="GT11:GT30" si="153">(GR11*$C$40)+(GS11*$C$41)</f>
        <v>36.005777895592693</v>
      </c>
      <c r="GU11" s="23">
        <f t="shared" ref="GU11:GU30" si="154">$L$39*GT11/1000000</f>
        <v>2.4952004081645735E-5</v>
      </c>
      <c r="GV11" s="23">
        <f t="shared" ref="GV11:GV30" si="155">$L$41*GT11/1000000</f>
        <v>6.5789816945424231E-8</v>
      </c>
      <c r="GW11" s="23">
        <f t="shared" ref="GW11:GW30" si="156">$L$40*GT11/1000000</f>
        <v>1.4762368937193003E-7</v>
      </c>
      <c r="GX11" s="26">
        <f t="shared" ref="GX11:GX30" si="157">$L$38*GT11/1000000</f>
        <v>1.3264528576736347E-2</v>
      </c>
      <c r="GY11" s="28">
        <f t="shared" ref="GY11:GY30" si="158">GU11*$AA44</f>
        <v>0.45412647428595238</v>
      </c>
      <c r="GZ11" s="29">
        <f t="shared" ref="GZ11:GZ30" si="159">GV11*$AB44</f>
        <v>3.2565959387984996E-3</v>
      </c>
      <c r="HA11" s="29">
        <f t="shared" ref="HA11:HA30" si="160">GW11*$AC44</f>
        <v>0.12982027243367528</v>
      </c>
      <c r="HB11" s="29">
        <f t="shared" ref="HB11:HB30" si="161">GX11*$AD44</f>
        <v>0.82240077175765358</v>
      </c>
      <c r="HC11" s="23">
        <f>SUM(GY11:HA11)</f>
        <v>0.58720334265842622</v>
      </c>
      <c r="HD11" s="83">
        <f>SUM(GY11:HB11)</f>
        <v>1.4096041144160798</v>
      </c>
    </row>
    <row r="12" spans="2:212" x14ac:dyDescent="0.3">
      <c r="B12" s="6">
        <v>2029</v>
      </c>
      <c r="C12" s="84">
        <f>'Health - Mortality'!AA10-'Health - Mortality'!L10</f>
        <v>145.99154912895028</v>
      </c>
      <c r="D12" s="80">
        <f t="shared" si="0"/>
        <v>24.280878546935998</v>
      </c>
      <c r="E12" s="80">
        <f t="shared" si="1"/>
        <v>121.71067058201429</v>
      </c>
      <c r="F12" s="80">
        <f t="shared" si="2"/>
        <v>118.50208913686578</v>
      </c>
      <c r="G12" s="95">
        <f t="shared" si="3"/>
        <v>8.2121947771847964E-5</v>
      </c>
      <c r="H12" s="95">
        <f t="shared" si="4"/>
        <v>2.1652721334258541E-7</v>
      </c>
      <c r="I12" s="95">
        <f t="shared" si="5"/>
        <v>4.8585856546114974E-7</v>
      </c>
      <c r="J12" s="118">
        <f t="shared" si="6"/>
        <v>4.3656169638021346E-2</v>
      </c>
      <c r="K12" s="28">
        <f>G12*$AA45</f>
        <v>1.5274682285563721</v>
      </c>
      <c r="L12" s="29">
        <f>H12*$AB45</f>
        <v>1.0912971552466304E-2</v>
      </c>
      <c r="M12" s="29">
        <f>I12*$AC45</f>
        <v>0.43406604238299118</v>
      </c>
      <c r="N12" s="29">
        <f>J12*$AD45</f>
        <v>2.7503386871953448</v>
      </c>
      <c r="O12" s="23">
        <f t="shared" ref="O12:O30" si="162">SUM(K12:M12)</f>
        <v>1.9724472424918296</v>
      </c>
      <c r="P12" s="83">
        <f>SUM(K12:N12)</f>
        <v>4.7227859296871744</v>
      </c>
      <c r="Q12" s="84">
        <f>'Health - Mortality'!AB10-'Health - Mortality'!M10</f>
        <v>26.605244189461246</v>
      </c>
      <c r="R12" s="80">
        <f t="shared" si="8"/>
        <v>4.4249047751749693</v>
      </c>
      <c r="S12" s="80">
        <f t="shared" si="9"/>
        <v>22.180339414286276</v>
      </c>
      <c r="T12" s="80">
        <f t="shared" si="10"/>
        <v>21.595613151983585</v>
      </c>
      <c r="U12" s="23">
        <f t="shared" si="11"/>
        <v>1.4965759914324624E-5</v>
      </c>
      <c r="V12" s="23">
        <f t="shared" si="12"/>
        <v>3.9459540083068345E-8</v>
      </c>
      <c r="W12" s="23">
        <f t="shared" si="13"/>
        <v>8.854201392313271E-8</v>
      </c>
      <c r="X12" s="26">
        <f t="shared" si="14"/>
        <v>7.9558238851907531E-3</v>
      </c>
      <c r="Y12" s="28">
        <f t="shared" si="15"/>
        <v>0.27836313440643801</v>
      </c>
      <c r="Z12" s="29">
        <f t="shared" si="16"/>
        <v>1.9887608201866447E-3</v>
      </c>
      <c r="AA12" s="29">
        <f t="shared" si="17"/>
        <v>7.9103435238926767E-2</v>
      </c>
      <c r="AB12" s="29">
        <f t="shared" si="18"/>
        <v>0.50121690476701741</v>
      </c>
      <c r="AC12" s="23">
        <f>SUM(Y12:AA12)</f>
        <v>0.35945533046555139</v>
      </c>
      <c r="AD12" s="83">
        <f>SUM(Y12:AB12)</f>
        <v>0.86067223523256886</v>
      </c>
      <c r="AE12" s="84">
        <f>'Health - Mortality'!AC10-'Health - Mortality'!N10</f>
        <v>20.218257971357161</v>
      </c>
      <c r="AF12" s="80">
        <f t="shared" si="19"/>
        <v>3.3626402977581287</v>
      </c>
      <c r="AG12" s="80">
        <f t="shared" si="20"/>
        <v>16.855617673599031</v>
      </c>
      <c r="AH12" s="80">
        <f t="shared" si="21"/>
        <v>16.411263683473049</v>
      </c>
      <c r="AI12" s="23">
        <f t="shared" si="22"/>
        <v>1.1373005732646823E-5</v>
      </c>
      <c r="AJ12" s="23">
        <f t="shared" si="23"/>
        <v>2.9986688156262301E-8</v>
      </c>
      <c r="AK12" s="23">
        <f t="shared" si="24"/>
        <v>6.7286181102239503E-8</v>
      </c>
      <c r="AL12" s="26">
        <f t="shared" si="25"/>
        <v>6.0459095409914707E-3</v>
      </c>
      <c r="AM12" s="28">
        <f t="shared" si="26"/>
        <v>0.2115379066272309</v>
      </c>
      <c r="AN12" s="29">
        <f t="shared" si="27"/>
        <v>1.51132908307562E-3</v>
      </c>
      <c r="AO12" s="29">
        <f t="shared" si="28"/>
        <v>6.011347419674077E-2</v>
      </c>
      <c r="AP12" s="29">
        <f t="shared" si="29"/>
        <v>0.38089230108246264</v>
      </c>
      <c r="AQ12" s="23">
        <f>SUM(AM12:AO12)</f>
        <v>0.27316270990704727</v>
      </c>
      <c r="AR12" s="83">
        <f>SUM(AM12:AP12)</f>
        <v>0.65405501098950991</v>
      </c>
      <c r="AS12" s="84">
        <f>'Health - Mortality'!AD10-'Health - Mortality'!O10</f>
        <v>7.4465761289258126</v>
      </c>
      <c r="AT12" s="80">
        <f t="shared" si="30"/>
        <v>1.2384923076421124</v>
      </c>
      <c r="AU12" s="80">
        <f t="shared" si="31"/>
        <v>6.2080838212837</v>
      </c>
      <c r="AV12" s="80">
        <f t="shared" si="32"/>
        <v>6.0444240331677914</v>
      </c>
      <c r="AW12" s="23">
        <f t="shared" si="33"/>
        <v>4.1887858549852791E-6</v>
      </c>
      <c r="AX12" s="23">
        <f t="shared" si="34"/>
        <v>1.1044381594413707E-8</v>
      </c>
      <c r="AY12" s="23">
        <f t="shared" si="35"/>
        <v>2.4782138535987948E-8</v>
      </c>
      <c r="AZ12" s="26">
        <f t="shared" si="36"/>
        <v>2.2267658138190143E-3</v>
      </c>
      <c r="BA12" s="28">
        <f t="shared" si="37"/>
        <v>7.7911416902726197E-2</v>
      </c>
      <c r="BB12" s="29">
        <f t="shared" si="38"/>
        <v>5.5663683235845083E-4</v>
      </c>
      <c r="BC12" s="29">
        <f t="shared" si="39"/>
        <v>2.2140362568051634E-2</v>
      </c>
      <c r="BD12" s="29">
        <f t="shared" si="40"/>
        <v>0.14028624627059791</v>
      </c>
      <c r="BE12" s="23">
        <f>SUM(BA12:BC12)</f>
        <v>0.10060841630313627</v>
      </c>
      <c r="BF12" s="83">
        <f>SUM(BA12:BD12)</f>
        <v>0.24089466257373418</v>
      </c>
      <c r="BG12" s="84">
        <f>'Health - Mortality'!AE10-'Health - Mortality'!P10</f>
        <v>6.3349190991900741</v>
      </c>
      <c r="BH12" s="80">
        <f t="shared" si="41"/>
        <v>1.0536048296620015</v>
      </c>
      <c r="BI12" s="80">
        <f t="shared" si="42"/>
        <v>5.2813142695280728</v>
      </c>
      <c r="BJ12" s="80">
        <f t="shared" si="43"/>
        <v>5.1420863210649417</v>
      </c>
      <c r="BK12" s="23">
        <f t="shared" si="44"/>
        <v>3.5634658204980045E-6</v>
      </c>
      <c r="BL12" s="23">
        <f t="shared" si="45"/>
        <v>9.3956286338655065E-9</v>
      </c>
      <c r="BM12" s="23">
        <f t="shared" si="46"/>
        <v>2.1082553916366261E-8</v>
      </c>
      <c r="BN12" s="26">
        <f t="shared" si="47"/>
        <v>1.8943446006803246E-3</v>
      </c>
      <c r="BO12" s="28">
        <f t="shared" si="48"/>
        <v>6.6280464261262884E-2</v>
      </c>
      <c r="BP12" s="29">
        <f t="shared" si="49"/>
        <v>4.7353968314682154E-4</v>
      </c>
      <c r="BQ12" s="29">
        <f t="shared" si="50"/>
        <v>1.8835153668881617E-2</v>
      </c>
      <c r="BR12" s="29">
        <f t="shared" si="51"/>
        <v>0.11934370984286044</v>
      </c>
      <c r="BS12" s="23">
        <f>SUM(BO12:BQ12)</f>
        <v>8.5589157613291333E-2</v>
      </c>
      <c r="BT12" s="83">
        <f>SUM(BO12:BR12)</f>
        <v>0.20493286745615177</v>
      </c>
      <c r="BU12" s="84">
        <f>'Health - Mortality'!AF10-'Health - Mortality'!Q10</f>
        <v>3.2722386350711616</v>
      </c>
      <c r="BV12" s="80">
        <f t="shared" si="52"/>
        <v>0.54422895947611338</v>
      </c>
      <c r="BW12" s="80">
        <f t="shared" si="53"/>
        <v>2.728009675595048</v>
      </c>
      <c r="BX12" s="80">
        <f t="shared" si="54"/>
        <v>2.6560928815666918</v>
      </c>
      <c r="BY12" s="23">
        <f t="shared" si="55"/>
        <v>1.8406723669257172E-6</v>
      </c>
      <c r="BZ12" s="23">
        <f t="shared" si="56"/>
        <v>4.8532173079284206E-9</v>
      </c>
      <c r="CA12" s="23">
        <f t="shared" si="57"/>
        <v>1.0889980814423437E-8</v>
      </c>
      <c r="CB12" s="26">
        <f t="shared" si="58"/>
        <v>9.7850461756916925E-4</v>
      </c>
      <c r="CC12" s="28">
        <f t="shared" si="59"/>
        <v>3.4236506024818342E-2</v>
      </c>
      <c r="CD12" s="29">
        <f t="shared" si="60"/>
        <v>2.4460215231959239E-4</v>
      </c>
      <c r="CE12" s="29">
        <f t="shared" si="61"/>
        <v>9.7291088596058988E-3</v>
      </c>
      <c r="CF12" s="29">
        <f t="shared" si="62"/>
        <v>6.1645790906857664E-2</v>
      </c>
      <c r="CG12" s="23">
        <f>SUM(CC12:CE12)</f>
        <v>4.4210217036743833E-2</v>
      </c>
      <c r="CH12" s="83">
        <f>SUM(CC12:CF12)</f>
        <v>0.1058560079436015</v>
      </c>
      <c r="CI12" s="84">
        <f>'Health - Mortality'!AG10-'Health - Mortality'!R10</f>
        <v>144.33177867998802</v>
      </c>
      <c r="CJ12" s="80">
        <f t="shared" si="63"/>
        <v>24.004830481637029</v>
      </c>
      <c r="CK12" s="80">
        <f t="shared" si="64"/>
        <v>120.32694819835099</v>
      </c>
      <c r="CL12" s="80">
        <f t="shared" si="65"/>
        <v>117.15484495140998</v>
      </c>
      <c r="CM12" s="23">
        <f t="shared" si="66"/>
        <v>8.1188307551327107E-5</v>
      </c>
      <c r="CN12" s="23">
        <f t="shared" si="67"/>
        <v>2.1406552653779139E-7</v>
      </c>
      <c r="CO12" s="23">
        <f t="shared" si="68"/>
        <v>4.80334864300781E-7</v>
      </c>
      <c r="CP12" s="26">
        <f t="shared" si="69"/>
        <v>4.3159844880099441E-2</v>
      </c>
      <c r="CQ12" s="28">
        <f t="shared" si="70"/>
        <v>1.5101025204546843</v>
      </c>
      <c r="CR12" s="29">
        <f t="shared" si="71"/>
        <v>1.0788902537504686E-2</v>
      </c>
      <c r="CS12" s="29">
        <f t="shared" si="72"/>
        <v>0.42913116776631777</v>
      </c>
      <c r="CT12" s="29">
        <f t="shared" si="73"/>
        <v>2.7190702274462648</v>
      </c>
      <c r="CU12" s="23">
        <f>SUM(CQ12:CS12)</f>
        <v>1.9500225907585067</v>
      </c>
      <c r="CV12" s="83">
        <f>SUM(CQ12:CT12)</f>
        <v>4.6690928182047715</v>
      </c>
      <c r="CW12" s="84">
        <f>'Health - Mortality'!AH10-'Health - Mortality'!S10</f>
        <v>52.707608995062856</v>
      </c>
      <c r="CX12" s="80">
        <f t="shared" si="74"/>
        <v>8.7661721527327039</v>
      </c>
      <c r="CY12" s="80">
        <f t="shared" si="75"/>
        <v>43.941436842330148</v>
      </c>
      <c r="CZ12" s="80">
        <f t="shared" si="76"/>
        <v>42.783036529101565</v>
      </c>
      <c r="DA12" s="23">
        <f t="shared" si="77"/>
        <v>2.9648644314667383E-5</v>
      </c>
      <c r="DB12" s="23">
        <f t="shared" si="78"/>
        <v>7.8173235134117834E-8</v>
      </c>
      <c r="DC12" s="23">
        <f t="shared" si="79"/>
        <v>1.7541044976931645E-7</v>
      </c>
      <c r="DD12" s="26">
        <f t="shared" si="80"/>
        <v>1.5761270657321018E-2</v>
      </c>
      <c r="DE12" s="28">
        <f t="shared" si="81"/>
        <v>0.55146478425281331</v>
      </c>
      <c r="DF12" s="29">
        <f t="shared" si="82"/>
        <v>3.9399310507595387E-3</v>
      </c>
      <c r="DG12" s="29">
        <f t="shared" si="83"/>
        <v>0.15671169582390732</v>
      </c>
      <c r="DH12" s="29">
        <f t="shared" si="84"/>
        <v>0.99296005141122412</v>
      </c>
      <c r="DI12" s="23">
        <f>SUM(DE12:DG12)</f>
        <v>0.71211641112748014</v>
      </c>
      <c r="DJ12" s="83">
        <f>SUM(DE12:DH12)</f>
        <v>1.7050764625387043</v>
      </c>
      <c r="DK12" s="84">
        <f>'Health - Mortality'!AI10-'Health - Mortality'!T10</f>
        <v>20.582689119166844</v>
      </c>
      <c r="DL12" s="80">
        <f t="shared" si="85"/>
        <v>3.4232513981367645</v>
      </c>
      <c r="DM12" s="80">
        <f t="shared" si="86"/>
        <v>17.159437721030081</v>
      </c>
      <c r="DN12" s="80">
        <f t="shared" si="87"/>
        <v>16.707074315113438</v>
      </c>
      <c r="DO12" s="23">
        <f t="shared" si="88"/>
        <v>1.1578002500373613E-5</v>
      </c>
      <c r="DP12" s="23">
        <f t="shared" si="89"/>
        <v>3.0527193831839272E-8</v>
      </c>
      <c r="DQ12" s="23">
        <f t="shared" si="90"/>
        <v>6.8499004691965102E-8</v>
      </c>
      <c r="DR12" s="26">
        <f t="shared" si="91"/>
        <v>6.1548861776877899E-3</v>
      </c>
      <c r="DS12" s="28">
        <f t="shared" si="92"/>
        <v>0.21535084650694919</v>
      </c>
      <c r="DT12" s="29">
        <f t="shared" si="93"/>
        <v>1.5385705691246994E-3</v>
      </c>
      <c r="DU12" s="29">
        <f t="shared" si="94"/>
        <v>6.119701079180162E-2</v>
      </c>
      <c r="DV12" s="29">
        <f t="shared" si="95"/>
        <v>0.38775782919433077</v>
      </c>
      <c r="DW12" s="23">
        <f>SUM(DS12:DU12)</f>
        <v>0.27808642786787552</v>
      </c>
      <c r="DX12" s="83">
        <f>SUM(DS12:DV12)</f>
        <v>0.66584425706220629</v>
      </c>
      <c r="DY12" s="84">
        <f>'Health - Mortality'!AJ10-'Health - Mortality'!U10</f>
        <v>34.015416153416709</v>
      </c>
      <c r="DZ12" s="80">
        <f t="shared" si="96"/>
        <v>5.6573424507954231</v>
      </c>
      <c r="EA12" s="80">
        <f t="shared" si="97"/>
        <v>28.358073702621287</v>
      </c>
      <c r="EB12" s="80">
        <f t="shared" si="98"/>
        <v>27.610487737748372</v>
      </c>
      <c r="EC12" s="23">
        <f t="shared" si="99"/>
        <v>1.9134068002259622E-5</v>
      </c>
      <c r="ED12" s="23">
        <f t="shared" si="100"/>
        <v>5.0449928878295228E-8</v>
      </c>
      <c r="EE12" s="23">
        <f t="shared" si="101"/>
        <v>1.1320299972476833E-7</v>
      </c>
      <c r="EF12" s="26">
        <f t="shared" si="102"/>
        <v>1.01717036825865E-2</v>
      </c>
      <c r="EG12" s="28">
        <f t="shared" si="103"/>
        <v>0.355893664842029</v>
      </c>
      <c r="EH12" s="29">
        <f t="shared" si="104"/>
        <v>2.5426764154660793E-3</v>
      </c>
      <c r="EI12" s="29">
        <f t="shared" si="105"/>
        <v>0.10113555995410803</v>
      </c>
      <c r="EJ12" s="29">
        <f t="shared" si="106"/>
        <v>0.64081733200294955</v>
      </c>
      <c r="EK12" s="23">
        <f>SUM(EG12:EI12)</f>
        <v>0.45957190121160307</v>
      </c>
      <c r="EL12" s="83">
        <f>SUM(EG12:EJ12)</f>
        <v>1.1003892332145526</v>
      </c>
      <c r="EM12" s="84">
        <f>'Health - Mortality'!AK10-'Health - Mortality'!V10</f>
        <v>4.9177645631181974</v>
      </c>
      <c r="EN12" s="80">
        <f t="shared" si="107"/>
        <v>0.8179079185880086</v>
      </c>
      <c r="EO12" s="80">
        <f t="shared" si="108"/>
        <v>4.0998566445301892</v>
      </c>
      <c r="EP12" s="80">
        <f t="shared" si="109"/>
        <v>3.9917747163434232</v>
      </c>
      <c r="EQ12" s="23">
        <f t="shared" si="110"/>
        <v>2.7662998784259922E-6</v>
      </c>
      <c r="ER12" s="23">
        <f t="shared" si="111"/>
        <v>7.2937773664307492E-9</v>
      </c>
      <c r="ES12" s="23">
        <f t="shared" si="112"/>
        <v>1.6366276337008034E-8</v>
      </c>
      <c r="ET12" s="26">
        <f t="shared" si="113"/>
        <v>1.470569805500917E-3</v>
      </c>
      <c r="EU12" s="28">
        <f t="shared" si="114"/>
        <v>5.1453177738723453E-2</v>
      </c>
      <c r="EV12" s="29">
        <f t="shared" si="115"/>
        <v>3.6760637926810979E-4</v>
      </c>
      <c r="EW12" s="29">
        <f t="shared" si="116"/>
        <v>1.4621631279482978E-2</v>
      </c>
      <c r="EX12" s="29">
        <f t="shared" si="117"/>
        <v>9.2645897746557765E-2</v>
      </c>
      <c r="EY12" s="23">
        <f>SUM(EU12:EW12)</f>
        <v>6.6442415397474544E-2</v>
      </c>
      <c r="EZ12" s="83">
        <f>SUM(EU12:EX12)</f>
        <v>0.15908831314403232</v>
      </c>
      <c r="FA12" s="84">
        <f>'Health - Mortality'!AL10-'Health - Mortality'!W10</f>
        <v>23.334926512523793</v>
      </c>
      <c r="FB12" s="80">
        <f t="shared" si="118"/>
        <v>3.8809953037200229</v>
      </c>
      <c r="FC12" s="80">
        <f t="shared" si="119"/>
        <v>19.45393120880377</v>
      </c>
      <c r="FD12" s="80">
        <f t="shared" si="120"/>
        <v>18.941079521985543</v>
      </c>
      <c r="FE12" s="23">
        <f t="shared" si="121"/>
        <v>1.312616810873598E-5</v>
      </c>
      <c r="FF12" s="23">
        <f t="shared" si="122"/>
        <v>3.4609171842186073E-8</v>
      </c>
      <c r="FG12" s="23">
        <f t="shared" si="123"/>
        <v>7.7658426040140722E-8</v>
      </c>
      <c r="FH12" s="26">
        <f t="shared" si="124"/>
        <v>6.9778936958994732E-3</v>
      </c>
      <c r="FI12" s="28">
        <f t="shared" si="125"/>
        <v>0.24414672682248922</v>
      </c>
      <c r="FJ12" s="29">
        <f t="shared" si="126"/>
        <v>1.7443022608461781E-3</v>
      </c>
      <c r="FK12" s="29">
        <f t="shared" si="127"/>
        <v>6.938003782426172E-2</v>
      </c>
      <c r="FL12" s="29">
        <f t="shared" si="128"/>
        <v>0.43960730284166682</v>
      </c>
      <c r="FM12" s="23">
        <f>SUM(FI12:FK12)</f>
        <v>0.3152710669075971</v>
      </c>
      <c r="FN12" s="83">
        <f>SUM(FI12:FL12)</f>
        <v>0.75487836974926392</v>
      </c>
      <c r="FO12" s="84">
        <f>'Health - Mortality'!AM10-'Health - Mortality'!X10</f>
        <v>13.903222065407533</v>
      </c>
      <c r="FP12" s="80">
        <f t="shared" si="129"/>
        <v>2.3123423814282824</v>
      </c>
      <c r="FQ12" s="80">
        <f t="shared" si="130"/>
        <v>11.590879683979251</v>
      </c>
      <c r="FR12" s="80">
        <f t="shared" si="131"/>
        <v>11.285316652331142</v>
      </c>
      <c r="FS12" s="23">
        <f t="shared" si="132"/>
        <v>7.8207244400654816E-6</v>
      </c>
      <c r="FT12" s="23">
        <f t="shared" si="133"/>
        <v>2.0620549259647982E-8</v>
      </c>
      <c r="FU12" s="23">
        <f t="shared" si="134"/>
        <v>4.6269798274557682E-8</v>
      </c>
      <c r="FV12" s="26">
        <f t="shared" si="135"/>
        <v>4.1575106547187927E-3</v>
      </c>
      <c r="FW12" s="28">
        <f t="shared" si="136"/>
        <v>0.14546547458521797</v>
      </c>
      <c r="FX12" s="29">
        <f t="shared" si="137"/>
        <v>1.0392756826862583E-3</v>
      </c>
      <c r="FY12" s="29">
        <f t="shared" si="138"/>
        <v>4.1337437778489833E-2</v>
      </c>
      <c r="FZ12" s="29">
        <f t="shared" si="139"/>
        <v>0.26192317124728393</v>
      </c>
      <c r="GA12" s="23">
        <f>SUM(FW12:FY12)</f>
        <v>0.18784218804639405</v>
      </c>
      <c r="GB12" s="83">
        <f>SUM(FW12:FZ12)</f>
        <v>0.449765359293678</v>
      </c>
      <c r="GC12" s="84">
        <f>'Health - Mortality'!AN10-'Health - Mortality'!Y10</f>
        <v>42.485714920876717</v>
      </c>
      <c r="GD12" s="80">
        <f t="shared" si="140"/>
        <v>7.0660972510290909</v>
      </c>
      <c r="GE12" s="80">
        <f t="shared" si="141"/>
        <v>35.419617669847625</v>
      </c>
      <c r="GF12" s="80">
        <f t="shared" si="142"/>
        <v>34.485872686714472</v>
      </c>
      <c r="GG12" s="23">
        <f t="shared" si="143"/>
        <v>2.3898709771893129E-5</v>
      </c>
      <c r="GH12" s="23">
        <f t="shared" si="144"/>
        <v>6.3012643632950543E-8</v>
      </c>
      <c r="GI12" s="23">
        <f t="shared" si="145"/>
        <v>1.4139207801552936E-7</v>
      </c>
      <c r="GJ12" s="26">
        <f t="shared" si="146"/>
        <v>1.270459549778561E-2</v>
      </c>
      <c r="GK12" s="28">
        <f t="shared" si="147"/>
        <v>0.44451600175721218</v>
      </c>
      <c r="GL12" s="29">
        <f t="shared" si="148"/>
        <v>3.1758372391007075E-3</v>
      </c>
      <c r="GM12" s="29">
        <f t="shared" si="149"/>
        <v>0.12631968249907394</v>
      </c>
      <c r="GN12" s="29">
        <f t="shared" si="150"/>
        <v>0.80038951636049349</v>
      </c>
      <c r="GO12" s="23">
        <f>SUM(GK12:GM12)</f>
        <v>0.57401152149538681</v>
      </c>
      <c r="GP12" s="83">
        <f>SUM(GK12:GN12)</f>
        <v>1.3744010378558804</v>
      </c>
      <c r="GQ12" s="84">
        <f>'Health - Mortality'!AO10-'Health - Mortality'!Z10</f>
        <v>44.677578378910766</v>
      </c>
      <c r="GR12" s="80">
        <f t="shared" si="151"/>
        <v>7.4306414368640112</v>
      </c>
      <c r="GS12" s="80">
        <f t="shared" si="152"/>
        <v>37.246936942046759</v>
      </c>
      <c r="GT12" s="80">
        <f t="shared" si="153"/>
        <v>36.265019496440893</v>
      </c>
      <c r="GU12" s="23">
        <f t="shared" si="154"/>
        <v>2.5131658511033534E-5</v>
      </c>
      <c r="GV12" s="23">
        <f t="shared" si="155"/>
        <v>6.626350362743116E-8</v>
      </c>
      <c r="GW12" s="23">
        <f t="shared" si="156"/>
        <v>1.4868657993540767E-7</v>
      </c>
      <c r="GX12" s="26">
        <f t="shared" si="157"/>
        <v>1.3360033182488823E-2</v>
      </c>
      <c r="GY12" s="28">
        <f t="shared" si="158"/>
        <v>0.46744884830522376</v>
      </c>
      <c r="GZ12" s="29">
        <f t="shared" si="159"/>
        <v>3.3396805828225305E-3</v>
      </c>
      <c r="HA12" s="29">
        <f t="shared" si="160"/>
        <v>0.13283659051429322</v>
      </c>
      <c r="HB12" s="29">
        <f t="shared" si="161"/>
        <v>0.84168209049679588</v>
      </c>
      <c r="HC12" s="23">
        <f>SUM(GY12:HA12)</f>
        <v>0.60362511940233954</v>
      </c>
      <c r="HD12" s="83">
        <f>SUM(GY12:HB12)</f>
        <v>1.4453072098991355</v>
      </c>
    </row>
    <row r="13" spans="2:212" x14ac:dyDescent="0.3">
      <c r="B13" s="6">
        <v>2030</v>
      </c>
      <c r="C13" s="84">
        <f>'Health - Mortality'!AA11-'Health - Mortality'!L11</f>
        <v>298.77603832157456</v>
      </c>
      <c r="D13" s="80">
        <f t="shared" si="0"/>
        <v>49.691538602779737</v>
      </c>
      <c r="E13" s="80">
        <f t="shared" si="1"/>
        <v>249.08449971879483</v>
      </c>
      <c r="F13" s="80">
        <f t="shared" si="2"/>
        <v>242.51804256060112</v>
      </c>
      <c r="G13" s="95">
        <f t="shared" si="3"/>
        <v>1.6806500349449656E-4</v>
      </c>
      <c r="H13" s="95">
        <f t="shared" si="4"/>
        <v>4.431293686332925E-7</v>
      </c>
      <c r="I13" s="95">
        <f t="shared" si="5"/>
        <v>9.9432397449846458E-7</v>
      </c>
      <c r="J13" s="118">
        <f t="shared" si="6"/>
        <v>8.9343646879325445E-2</v>
      </c>
      <c r="K13" s="28">
        <f t="shared" ref="K13:K30" si="163">G13*AA46</f>
        <v>3.1764285660459848</v>
      </c>
      <c r="L13" s="29">
        <f t="shared" ref="L13:L30" si="164">H13*AB46</f>
        <v>2.2732536610887904E-2</v>
      </c>
      <c r="M13" s="29">
        <f t="shared" ref="M13:M30" si="165">I13*AC46</f>
        <v>0.90244843925480644</v>
      </c>
      <c r="N13" s="29">
        <f t="shared" ref="N13:N30" si="166">J13*AD46</f>
        <v>5.8073370471561541</v>
      </c>
      <c r="O13" s="23">
        <f t="shared" si="162"/>
        <v>4.1016095419116789</v>
      </c>
      <c r="P13" s="83">
        <f t="shared" ref="P13:P30" si="167">SUM(K13:N13)</f>
        <v>9.908946589067833</v>
      </c>
      <c r="Q13" s="84">
        <f>'Health - Mortality'!AB11-'Health - Mortality'!M11</f>
        <v>54.448421877379928</v>
      </c>
      <c r="R13" s="80">
        <f t="shared" si="8"/>
        <v>9.0556989535692924</v>
      </c>
      <c r="S13" s="80">
        <f t="shared" si="9"/>
        <v>45.392722923810638</v>
      </c>
      <c r="T13" s="80">
        <f t="shared" si="10"/>
        <v>44.196063273332719</v>
      </c>
      <c r="U13" s="23">
        <f t="shared" si="11"/>
        <v>3.0627871848419573E-5</v>
      </c>
      <c r="V13" s="23">
        <f t="shared" si="12"/>
        <v>8.0755119939148951E-8</v>
      </c>
      <c r="W13" s="23">
        <f t="shared" si="13"/>
        <v>1.8120385942066417E-7</v>
      </c>
      <c r="X13" s="26">
        <f t="shared" si="14"/>
        <v>1.6281829709895772E-2</v>
      </c>
      <c r="Y13" s="28">
        <f t="shared" si="15"/>
        <v>0.57886677793512997</v>
      </c>
      <c r="Z13" s="29">
        <f t="shared" si="16"/>
        <v>4.1427376528783413E-3</v>
      </c>
      <c r="AA13" s="29">
        <f t="shared" si="17"/>
        <v>0.1644606228101948</v>
      </c>
      <c r="AB13" s="29">
        <f t="shared" si="18"/>
        <v>1.0583189311432251</v>
      </c>
      <c r="AC13" s="23">
        <f t="shared" ref="AC13:AC30" si="168">SUM(Y13:AA13)</f>
        <v>0.74747013839820309</v>
      </c>
      <c r="AD13" s="83">
        <f t="shared" ref="AD13:AD30" si="169">SUM(Y13:AB13)</f>
        <v>1.805789069541428</v>
      </c>
      <c r="AE13" s="84">
        <f>'Health - Mortality'!AC11-'Health - Mortality'!N11</f>
        <v>41.377265016279125</v>
      </c>
      <c r="AF13" s="80">
        <f t="shared" si="19"/>
        <v>6.8817431725260647</v>
      </c>
      <c r="AG13" s="80">
        <f t="shared" si="20"/>
        <v>34.49552184375306</v>
      </c>
      <c r="AH13" s="80">
        <f t="shared" si="21"/>
        <v>33.586138214533804</v>
      </c>
      <c r="AI13" s="23">
        <f t="shared" si="22"/>
        <v>2.3275193782671922E-5</v>
      </c>
      <c r="AJ13" s="23">
        <f t="shared" si="23"/>
        <v>6.136864731669543E-8</v>
      </c>
      <c r="AK13" s="23">
        <f t="shared" si="24"/>
        <v>1.3770316667958861E-7</v>
      </c>
      <c r="AL13" s="26">
        <f t="shared" si="25"/>
        <v>1.2373133318234253E-2</v>
      </c>
      <c r="AM13" s="28">
        <f t="shared" si="26"/>
        <v>0.43990116249249933</v>
      </c>
      <c r="AN13" s="29">
        <f t="shared" si="27"/>
        <v>3.1482116073464753E-3</v>
      </c>
      <c r="AO13" s="29">
        <f t="shared" si="28"/>
        <v>0.12497939407839462</v>
      </c>
      <c r="AP13" s="29">
        <f t="shared" si="29"/>
        <v>0.80425366568522638</v>
      </c>
      <c r="AQ13" s="23">
        <f t="shared" ref="AQ13:AQ30" si="170">SUM(AM13:AO13)</f>
        <v>0.56802876817824044</v>
      </c>
      <c r="AR13" s="83">
        <f t="shared" ref="AR13:AR30" si="171">SUM(AM13:AP13)</f>
        <v>1.3722824338634667</v>
      </c>
      <c r="AS13" s="84">
        <f>'Health - Mortality'!AD11-'Health - Mortality'!O11</f>
        <v>15.239639062226189</v>
      </c>
      <c r="AT13" s="80">
        <f t="shared" si="30"/>
        <v>2.5346112660412752</v>
      </c>
      <c r="AU13" s="80">
        <f t="shared" si="31"/>
        <v>12.705027796184913</v>
      </c>
      <c r="AV13" s="80">
        <f t="shared" si="32"/>
        <v>12.370093182383195</v>
      </c>
      <c r="AW13" s="23">
        <f t="shared" si="33"/>
        <v>8.5724745753915548E-6</v>
      </c>
      <c r="AX13" s="23">
        <f t="shared" si="34"/>
        <v>2.2602654730213382E-8</v>
      </c>
      <c r="AY13" s="23">
        <f t="shared" si="35"/>
        <v>5.0717382047771103E-8</v>
      </c>
      <c r="AZ13" s="26">
        <f t="shared" si="36"/>
        <v>4.5571423283899681E-3</v>
      </c>
      <c r="BA13" s="28">
        <f t="shared" si="37"/>
        <v>0.16201976947490038</v>
      </c>
      <c r="BB13" s="29">
        <f t="shared" si="38"/>
        <v>1.1595161876599466E-3</v>
      </c>
      <c r="BC13" s="29">
        <f t="shared" si="39"/>
        <v>4.6031095946557056E-2</v>
      </c>
      <c r="BD13" s="29">
        <f t="shared" si="40"/>
        <v>0.29621425134534796</v>
      </c>
      <c r="BE13" s="23">
        <f t="shared" ref="BE13:BE30" si="172">SUM(BA13:BC13)</f>
        <v>0.20921038160911737</v>
      </c>
      <c r="BF13" s="83">
        <f t="shared" ref="BF13:BF30" si="173">SUM(BA13:BD13)</f>
        <v>0.50542463295446538</v>
      </c>
      <c r="BG13" s="84">
        <f>'Health - Mortality'!AE11-'Health - Mortality'!P11</f>
        <v>12.964599956891362</v>
      </c>
      <c r="BH13" s="80">
        <f t="shared" si="41"/>
        <v>2.1562335548946323</v>
      </c>
      <c r="BI13" s="80">
        <f t="shared" si="42"/>
        <v>10.80836640199673</v>
      </c>
      <c r="BJ13" s="80">
        <f t="shared" si="43"/>
        <v>10.52343227318142</v>
      </c>
      <c r="BK13" s="23">
        <f t="shared" si="44"/>
        <v>7.2927385653147241E-6</v>
      </c>
      <c r="BL13" s="23">
        <f t="shared" si="45"/>
        <v>1.9228432861463626E-8</v>
      </c>
      <c r="BM13" s="23">
        <f t="shared" si="46"/>
        <v>4.3146072320043827E-8</v>
      </c>
      <c r="BN13" s="26">
        <f t="shared" si="47"/>
        <v>3.8768324494400349E-3</v>
      </c>
      <c r="BO13" s="28">
        <f t="shared" si="48"/>
        <v>0.13783275888444829</v>
      </c>
      <c r="BP13" s="29">
        <f t="shared" si="49"/>
        <v>9.8641860579308407E-4</v>
      </c>
      <c r="BQ13" s="29">
        <f t="shared" si="50"/>
        <v>3.9159375237671774E-2</v>
      </c>
      <c r="BR13" s="29">
        <f t="shared" si="51"/>
        <v>0.25199410921360227</v>
      </c>
      <c r="BS13" s="23">
        <f t="shared" ref="BS13:BS30" si="174">SUM(BO13:BQ13)</f>
        <v>0.17797855272791313</v>
      </c>
      <c r="BT13" s="83">
        <f t="shared" ref="BT13:BT30" si="175">SUM(BO13:BR13)</f>
        <v>0.4299726619415154</v>
      </c>
      <c r="BU13" s="84">
        <f>'Health - Mortality'!AF11-'Health - Mortality'!Q11</f>
        <v>6.6967334867158144</v>
      </c>
      <c r="BV13" s="80">
        <f t="shared" si="52"/>
        <v>1.1137807182833821</v>
      </c>
      <c r="BW13" s="80">
        <f t="shared" si="53"/>
        <v>5.582952768432432</v>
      </c>
      <c r="BX13" s="80">
        <f t="shared" si="54"/>
        <v>5.4357729149629535</v>
      </c>
      <c r="BY13" s="23">
        <f t="shared" si="55"/>
        <v>3.7669906300693265E-6</v>
      </c>
      <c r="BZ13" s="23">
        <f t="shared" si="56"/>
        <v>9.9322532641651997E-9</v>
      </c>
      <c r="CA13" s="23">
        <f t="shared" si="57"/>
        <v>2.2286668951348112E-8</v>
      </c>
      <c r="CB13" s="26">
        <f t="shared" si="58"/>
        <v>2.0025387418723521E-3</v>
      </c>
      <c r="CC13" s="28">
        <f t="shared" si="59"/>
        <v>7.1196122908310275E-2</v>
      </c>
      <c r="CD13" s="29">
        <f t="shared" si="60"/>
        <v>5.0952459245167476E-4</v>
      </c>
      <c r="CE13" s="29">
        <f t="shared" si="61"/>
        <v>2.0227380740243547E-2</v>
      </c>
      <c r="CF13" s="29">
        <f t="shared" si="62"/>
        <v>0.13016501822170287</v>
      </c>
      <c r="CG13" s="23">
        <f t="shared" ref="CG13:CG30" si="176">SUM(CC13:CE13)</f>
        <v>9.1933028241005493E-2</v>
      </c>
      <c r="CH13" s="83">
        <f t="shared" ref="CH13:CH30" si="177">SUM(CC13:CF13)</f>
        <v>0.22209804646270837</v>
      </c>
      <c r="CI13" s="84">
        <f>'Health - Mortality'!AG11-'Health - Mortality'!R11</f>
        <v>295.37926883578621</v>
      </c>
      <c r="CJ13" s="80">
        <f t="shared" si="63"/>
        <v>49.126598044038793</v>
      </c>
      <c r="CK13" s="80">
        <f t="shared" si="64"/>
        <v>246.25267079174742</v>
      </c>
      <c r="CL13" s="80">
        <f t="shared" si="65"/>
        <v>239.76086734885828</v>
      </c>
      <c r="CM13" s="23">
        <f t="shared" si="66"/>
        <v>1.6615428107275877E-4</v>
      </c>
      <c r="CN13" s="23">
        <f t="shared" si="67"/>
        <v>4.3809145352441705E-7</v>
      </c>
      <c r="CO13" s="23">
        <f t="shared" si="68"/>
        <v>9.8301955613031893E-7</v>
      </c>
      <c r="CP13" s="26">
        <f t="shared" si="69"/>
        <v>8.8327903531319391E-2</v>
      </c>
      <c r="CQ13" s="28">
        <f t="shared" si="70"/>
        <v>3.140315912275141</v>
      </c>
      <c r="CR13" s="29">
        <f t="shared" si="71"/>
        <v>2.2474091565802594E-2</v>
      </c>
      <c r="CS13" s="29">
        <f t="shared" si="72"/>
        <v>0.89218854914387746</v>
      </c>
      <c r="CT13" s="29">
        <f t="shared" si="73"/>
        <v>5.7413137295357606</v>
      </c>
      <c r="CU13" s="23">
        <f t="shared" ref="CU13:CU30" si="178">SUM(CQ13:CS13)</f>
        <v>4.0549785529848208</v>
      </c>
      <c r="CV13" s="83">
        <f t="shared" ref="CV13:CV30" si="179">SUM(CQ13:CT13)</f>
        <v>9.7962922825205823</v>
      </c>
      <c r="CW13" s="84">
        <f>'Health - Mortality'!AH11-'Health - Mortality'!S11</f>
        <v>107.86768617023085</v>
      </c>
      <c r="CX13" s="80">
        <f t="shared" si="74"/>
        <v>17.940231490556933</v>
      </c>
      <c r="CY13" s="80">
        <f t="shared" si="75"/>
        <v>89.927454679673929</v>
      </c>
      <c r="CZ13" s="80">
        <f t="shared" si="76"/>
        <v>87.556754057330352</v>
      </c>
      <c r="DA13" s="23">
        <f t="shared" si="77"/>
        <v>6.0676830561729926E-5</v>
      </c>
      <c r="DB13" s="23">
        <f t="shared" si="78"/>
        <v>1.5998384588359058E-7</v>
      </c>
      <c r="DC13" s="23">
        <f t="shared" si="79"/>
        <v>3.5898269163505445E-7</v>
      </c>
      <c r="DD13" s="26">
        <f t="shared" si="80"/>
        <v>3.2255908194720503E-2</v>
      </c>
      <c r="DE13" s="28">
        <f t="shared" si="81"/>
        <v>1.1467920976166956</v>
      </c>
      <c r="DF13" s="29">
        <f t="shared" si="82"/>
        <v>8.2071712938281971E-3</v>
      </c>
      <c r="DG13" s="29">
        <f t="shared" si="83"/>
        <v>0.32581269092797543</v>
      </c>
      <c r="DH13" s="29">
        <f t="shared" si="84"/>
        <v>2.0966340326568327</v>
      </c>
      <c r="DI13" s="23">
        <f t="shared" ref="DI13:DI30" si="180">SUM(DE13:DG13)</f>
        <v>1.4808119598384992</v>
      </c>
      <c r="DJ13" s="83">
        <f t="shared" ref="DJ13:DJ30" si="181">SUM(DE13:DH13)</f>
        <v>3.5774459924953321</v>
      </c>
      <c r="DK13" s="84">
        <f>'Health - Mortality'!AI11-'Health - Mortality'!T11</f>
        <v>42.123084176587895</v>
      </c>
      <c r="DL13" s="80">
        <f t="shared" si="85"/>
        <v>7.0057855883883677</v>
      </c>
      <c r="DM13" s="80">
        <f t="shared" si="86"/>
        <v>35.117298588199525</v>
      </c>
      <c r="DN13" s="80">
        <f t="shared" si="87"/>
        <v>34.191523451845228</v>
      </c>
      <c r="DO13" s="23">
        <f t="shared" si="88"/>
        <v>2.369472575212874E-5</v>
      </c>
      <c r="DP13" s="23">
        <f t="shared" si="89"/>
        <v>6.2474808223971817E-8</v>
      </c>
      <c r="DQ13" s="23">
        <f t="shared" si="90"/>
        <v>1.4018524615256546E-7</v>
      </c>
      <c r="DR13" s="26">
        <f t="shared" si="91"/>
        <v>1.259615723965978E-2</v>
      </c>
      <c r="DS13" s="28">
        <f t="shared" si="92"/>
        <v>0.44783031671523321</v>
      </c>
      <c r="DT13" s="29">
        <f t="shared" si="93"/>
        <v>3.2049576618897544E-3</v>
      </c>
      <c r="DU13" s="29">
        <f t="shared" si="94"/>
        <v>0.12723212940806841</v>
      </c>
      <c r="DV13" s="29">
        <f t="shared" si="95"/>
        <v>0.81875022057788571</v>
      </c>
      <c r="DW13" s="23">
        <f t="shared" ref="DW13:DW30" si="182">SUM(DS13:DU13)</f>
        <v>0.57826740378519137</v>
      </c>
      <c r="DX13" s="83">
        <f t="shared" ref="DX13:DX30" si="183">SUM(DS13:DV13)</f>
        <v>1.3970176243630772</v>
      </c>
      <c r="DY13" s="84">
        <f>'Health - Mortality'!AJ11-'Health - Mortality'!U11</f>
        <v>69.613558735518609</v>
      </c>
      <c r="DZ13" s="80">
        <f t="shared" si="96"/>
        <v>11.577919235476752</v>
      </c>
      <c r="EA13" s="80">
        <f t="shared" si="97"/>
        <v>58.035639500041853</v>
      </c>
      <c r="EB13" s="80">
        <f t="shared" si="98"/>
        <v>56.505682634577994</v>
      </c>
      <c r="EC13" s="23">
        <f t="shared" si="99"/>
        <v>3.9158438065762545E-5</v>
      </c>
      <c r="ED13" s="23">
        <f t="shared" si="100"/>
        <v>1.0324727680332008E-7</v>
      </c>
      <c r="EE13" s="23">
        <f t="shared" si="101"/>
        <v>2.3167329880176979E-7</v>
      </c>
      <c r="EF13" s="26">
        <f t="shared" si="102"/>
        <v>2.0816693482578533E-2</v>
      </c>
      <c r="EG13" s="28">
        <f t="shared" si="103"/>
        <v>0.74009447944291207</v>
      </c>
      <c r="EH13" s="29">
        <f t="shared" si="104"/>
        <v>5.2965853000103208E-3</v>
      </c>
      <c r="EI13" s="29">
        <f t="shared" si="105"/>
        <v>0.21026668599248627</v>
      </c>
      <c r="EJ13" s="29">
        <f t="shared" si="106"/>
        <v>1.3530850763676048</v>
      </c>
      <c r="EK13" s="23">
        <f t="shared" ref="EK13:EK30" si="184">SUM(EG13:EI13)</f>
        <v>0.95565775073540871</v>
      </c>
      <c r="EL13" s="83">
        <f t="shared" ref="EL13:EL30" si="185">SUM(EG13:EJ13)</f>
        <v>2.3087428271030133</v>
      </c>
      <c r="EM13" s="84">
        <f>'Health - Mortality'!AK11-'Health - Mortality'!V11</f>
        <v>10.064351137673611</v>
      </c>
      <c r="EN13" s="80">
        <f t="shared" si="107"/>
        <v>1.6738728308973811</v>
      </c>
      <c r="EO13" s="80">
        <f t="shared" si="108"/>
        <v>8.390478306776231</v>
      </c>
      <c r="EP13" s="80">
        <f t="shared" si="109"/>
        <v>8.1692854328703852</v>
      </c>
      <c r="EQ13" s="23">
        <f t="shared" si="110"/>
        <v>5.6613148049791763E-6</v>
      </c>
      <c r="ER13" s="23">
        <f t="shared" si="111"/>
        <v>1.4926931859712742E-8</v>
      </c>
      <c r="ES13" s="23">
        <f t="shared" si="112"/>
        <v>3.3494070274768585E-8</v>
      </c>
      <c r="ET13" s="26">
        <f t="shared" si="113"/>
        <v>3.0095647534694498E-3</v>
      </c>
      <c r="EU13" s="28">
        <f t="shared" si="114"/>
        <v>0.10699884981410643</v>
      </c>
      <c r="EV13" s="29">
        <f t="shared" si="115"/>
        <v>7.6575160440326372E-4</v>
      </c>
      <c r="EW13" s="29">
        <f t="shared" si="116"/>
        <v>3.0399218181379969E-2</v>
      </c>
      <c r="EX13" s="29">
        <f t="shared" si="117"/>
        <v>0.19562170897551423</v>
      </c>
      <c r="EY13" s="23">
        <f t="shared" ref="EY13:EY30" si="186">SUM(EU13:EW13)</f>
        <v>0.13816381959988966</v>
      </c>
      <c r="EZ13" s="83">
        <f t="shared" ref="EZ13:EZ30" si="187">SUM(EU13:EX13)</f>
        <v>0.33378552857540389</v>
      </c>
      <c r="FA13" s="84">
        <f>'Health - Mortality'!AL11-'Health - Mortality'!W11</f>
        <v>47.755619688498882</v>
      </c>
      <c r="FB13" s="80">
        <f t="shared" si="118"/>
        <v>7.942572077003649</v>
      </c>
      <c r="FC13" s="80">
        <f t="shared" si="119"/>
        <v>39.813047611495236</v>
      </c>
      <c r="FD13" s="80">
        <f t="shared" si="120"/>
        <v>38.763481412983673</v>
      </c>
      <c r="FE13" s="23">
        <f t="shared" si="121"/>
        <v>2.6863092619197685E-5</v>
      </c>
      <c r="FF13" s="23">
        <f t="shared" si="122"/>
        <v>7.0828697375254155E-8</v>
      </c>
      <c r="FG13" s="23">
        <f t="shared" si="123"/>
        <v>1.5893027379323309E-7</v>
      </c>
      <c r="FH13" s="26">
        <f t="shared" si="124"/>
        <v>1.4280466552543185E-2</v>
      </c>
      <c r="FI13" s="28">
        <f t="shared" si="125"/>
        <v>0.5077124505028362</v>
      </c>
      <c r="FJ13" s="29">
        <f t="shared" si="126"/>
        <v>3.6335121753505381E-3</v>
      </c>
      <c r="FK13" s="29">
        <f t="shared" si="127"/>
        <v>0.14424511649473834</v>
      </c>
      <c r="FL13" s="29">
        <f t="shared" si="128"/>
        <v>0.92823032591530708</v>
      </c>
      <c r="FM13" s="23">
        <f t="shared" ref="FM13:FM30" si="188">SUM(FI13:FK13)</f>
        <v>0.65559107917292514</v>
      </c>
      <c r="FN13" s="83">
        <f t="shared" ref="FN13:FN30" si="189">SUM(FI13:FL13)</f>
        <v>1.5838214050882322</v>
      </c>
      <c r="FO13" s="84">
        <f>'Health - Mortality'!AM11-'Health - Mortality'!X11</f>
        <v>28.453356604487396</v>
      </c>
      <c r="FP13" s="80">
        <f t="shared" si="129"/>
        <v>4.7322773139148566</v>
      </c>
      <c r="FQ13" s="80">
        <f t="shared" si="130"/>
        <v>23.72107929057254</v>
      </c>
      <c r="FR13" s="80">
        <f t="shared" si="131"/>
        <v>23.095735477193905</v>
      </c>
      <c r="FS13" s="23">
        <f t="shared" si="132"/>
        <v>1.6005344685695374E-5</v>
      </c>
      <c r="FT13" s="23">
        <f t="shared" si="133"/>
        <v>4.220056607777159E-8</v>
      </c>
      <c r="FU13" s="23">
        <f t="shared" si="134"/>
        <v>9.4692515456495014E-8</v>
      </c>
      <c r="FV13" s="26">
        <f t="shared" si="135"/>
        <v>8.5084689497982348E-3</v>
      </c>
      <c r="FW13" s="28">
        <f t="shared" si="136"/>
        <v>0.30250101455964257</v>
      </c>
      <c r="FX13" s="29">
        <f t="shared" si="137"/>
        <v>2.1648890397896825E-3</v>
      </c>
      <c r="FY13" s="29">
        <f t="shared" si="138"/>
        <v>8.5942927028314881E-2</v>
      </c>
      <c r="FZ13" s="29">
        <f t="shared" si="139"/>
        <v>0.55305048173688531</v>
      </c>
      <c r="GA13" s="23">
        <f t="shared" ref="GA13:GA30" si="190">SUM(FW13:FY13)</f>
        <v>0.39060883062774709</v>
      </c>
      <c r="GB13" s="83">
        <f t="shared" ref="GB13:GB30" si="191">SUM(FW13:FZ13)</f>
        <v>0.94365931236463241</v>
      </c>
      <c r="GC13" s="84">
        <f>'Health - Mortality'!AN11-'Health - Mortality'!Y11</f>
        <v>86.948276561593275</v>
      </c>
      <c r="GD13" s="80">
        <f t="shared" si="140"/>
        <v>14.460977745997482</v>
      </c>
      <c r="GE13" s="80">
        <f t="shared" si="141"/>
        <v>72.487298815595793</v>
      </c>
      <c r="GF13" s="80">
        <f t="shared" si="142"/>
        <v>70.576361994062694</v>
      </c>
      <c r="GG13" s="23">
        <f t="shared" si="143"/>
        <v>4.8909418861885438E-5</v>
      </c>
      <c r="GH13" s="23">
        <f t="shared" si="144"/>
        <v>1.2895724541009664E-7</v>
      </c>
      <c r="GI13" s="23">
        <f t="shared" si="145"/>
        <v>2.8936308417565712E-7</v>
      </c>
      <c r="GJ13" s="26">
        <f t="shared" si="146"/>
        <v>2.6000331758612695E-2</v>
      </c>
      <c r="GK13" s="28">
        <f t="shared" si="147"/>
        <v>0.92438801648963476</v>
      </c>
      <c r="GL13" s="29">
        <f t="shared" si="148"/>
        <v>6.6155066895379573E-3</v>
      </c>
      <c r="GM13" s="29">
        <f t="shared" si="149"/>
        <v>0.2626259351978264</v>
      </c>
      <c r="GN13" s="29">
        <f t="shared" si="150"/>
        <v>1.6900215643098251</v>
      </c>
      <c r="GO13" s="23">
        <f t="shared" ref="GO13:GO30" si="192">SUM(GK13:GM13)</f>
        <v>1.1936294583769991</v>
      </c>
      <c r="GP13" s="83">
        <f t="shared" ref="GP13:GP30" si="193">SUM(GK13:GN13)</f>
        <v>2.8836510226868244</v>
      </c>
      <c r="GQ13" s="84">
        <f>'Health - Mortality'!AO11-'Health - Mortality'!Z11</f>
        <v>91.433990182967136</v>
      </c>
      <c r="GR13" s="80">
        <f t="shared" si="151"/>
        <v>15.207028241980039</v>
      </c>
      <c r="GS13" s="80">
        <f t="shared" si="152"/>
        <v>76.226961940987096</v>
      </c>
      <c r="GT13" s="80">
        <f t="shared" si="153"/>
        <v>74.21743874524492</v>
      </c>
      <c r="GU13" s="23">
        <f t="shared" si="154"/>
        <v>5.1432685050454722E-5</v>
      </c>
      <c r="GV13" s="23">
        <f t="shared" si="155"/>
        <v>1.3561022687432549E-7</v>
      </c>
      <c r="GW13" s="23">
        <f t="shared" si="156"/>
        <v>3.0429149885550419E-7</v>
      </c>
      <c r="GX13" s="26">
        <f t="shared" si="157"/>
        <v>2.7341704433748226E-2</v>
      </c>
      <c r="GY13" s="28">
        <f t="shared" si="158"/>
        <v>0.97207774745359421</v>
      </c>
      <c r="GZ13" s="29">
        <f t="shared" si="159"/>
        <v>6.9568046386528975E-3</v>
      </c>
      <c r="HA13" s="29">
        <f t="shared" si="160"/>
        <v>0.2761749643612556</v>
      </c>
      <c r="HB13" s="29">
        <f t="shared" si="161"/>
        <v>1.7772107881936348</v>
      </c>
      <c r="HC13" s="23">
        <f t="shared" ref="HC13:HC30" si="194">SUM(GY13:HA13)</f>
        <v>1.2552095164535026</v>
      </c>
      <c r="HD13" s="83">
        <f t="shared" ref="HD13:HD30" si="195">SUM(GY13:HB13)</f>
        <v>3.0324203046471374</v>
      </c>
    </row>
    <row r="14" spans="2:212" x14ac:dyDescent="0.3">
      <c r="B14" s="6">
        <v>2031</v>
      </c>
      <c r="C14" s="84">
        <f>'Health - Mortality'!AA12-'Health - Mortality'!L12</f>
        <v>458.62819993874382</v>
      </c>
      <c r="D14" s="80">
        <f t="shared" si="0"/>
        <v>76.277672833490456</v>
      </c>
      <c r="E14" s="80">
        <f t="shared" si="1"/>
        <v>382.35052710525338</v>
      </c>
      <c r="F14" s="80">
        <f t="shared" si="2"/>
        <v>372.2708619374734</v>
      </c>
      <c r="G14" s="95">
        <f t="shared" si="3"/>
        <v>2.5798370732266901E-4</v>
      </c>
      <c r="H14" s="95">
        <f t="shared" si="4"/>
        <v>6.8021393488570011E-7</v>
      </c>
      <c r="I14" s="95">
        <f t="shared" si="5"/>
        <v>1.5263105339436412E-6</v>
      </c>
      <c r="J14" s="118">
        <f t="shared" si="6"/>
        <v>0.13714458553776521</v>
      </c>
      <c r="K14" s="28">
        <f t="shared" si="163"/>
        <v>4.8758920683984446</v>
      </c>
      <c r="L14" s="29">
        <f t="shared" si="164"/>
        <v>3.4894974859636413E-2</v>
      </c>
      <c r="M14" s="29">
        <f t="shared" si="165"/>
        <v>1.3852794406072488</v>
      </c>
      <c r="N14" s="29">
        <f t="shared" si="166"/>
        <v>9.0515426454925034</v>
      </c>
      <c r="O14" s="23">
        <f t="shared" si="162"/>
        <v>6.2960664838653297</v>
      </c>
      <c r="P14" s="83">
        <f t="shared" si="167"/>
        <v>15.347609129357833</v>
      </c>
      <c r="Q14" s="84">
        <f>'Health - Mortality'!AB12-'Health - Mortality'!M12</f>
        <v>83.579599807970567</v>
      </c>
      <c r="R14" s="80">
        <f t="shared" si="8"/>
        <v>13.900709486590543</v>
      </c>
      <c r="S14" s="80">
        <f t="shared" si="9"/>
        <v>69.678890321380024</v>
      </c>
      <c r="T14" s="80">
        <f t="shared" si="10"/>
        <v>67.841989797090605</v>
      </c>
      <c r="U14" s="23">
        <f t="shared" si="11"/>
        <v>4.7014498929383784E-5</v>
      </c>
      <c r="V14" s="23">
        <f t="shared" si="12"/>
        <v>1.2396099600753978E-7</v>
      </c>
      <c r="W14" s="23">
        <f t="shared" si="13"/>
        <v>2.7815215816807149E-7</v>
      </c>
      <c r="X14" s="26">
        <f t="shared" si="14"/>
        <v>2.4992989041248175E-2</v>
      </c>
      <c r="Y14" s="28">
        <f t="shared" si="15"/>
        <v>0.88857402976535349</v>
      </c>
      <c r="Z14" s="29">
        <f t="shared" si="16"/>
        <v>6.3591990951867901E-3</v>
      </c>
      <c r="AA14" s="29">
        <f t="shared" si="17"/>
        <v>0.2524508987533417</v>
      </c>
      <c r="AB14" s="29">
        <f t="shared" si="18"/>
        <v>1.6495372767223795</v>
      </c>
      <c r="AC14" s="23">
        <f t="shared" si="168"/>
        <v>1.1473841276138819</v>
      </c>
      <c r="AD14" s="83">
        <f t="shared" si="169"/>
        <v>2.7969214043362616</v>
      </c>
      <c r="AE14" s="84">
        <f>'Health - Mortality'!AC12-'Health - Mortality'!N12</f>
        <v>63.515068609282594</v>
      </c>
      <c r="AF14" s="80">
        <f t="shared" si="19"/>
        <v>10.563636566662593</v>
      </c>
      <c r="AG14" s="80">
        <f t="shared" si="20"/>
        <v>52.951432042619999</v>
      </c>
      <c r="AH14" s="80">
        <f t="shared" si="21"/>
        <v>51.555506923371667</v>
      </c>
      <c r="AI14" s="23">
        <f t="shared" si="22"/>
        <v>3.5727966297896562E-5</v>
      </c>
      <c r="AJ14" s="23">
        <f t="shared" si="23"/>
        <v>9.4202307553320541E-8</v>
      </c>
      <c r="AK14" s="23">
        <f t="shared" si="24"/>
        <v>2.1137757838582386E-7</v>
      </c>
      <c r="AL14" s="26">
        <f t="shared" si="25"/>
        <v>1.8993048750570122E-2</v>
      </c>
      <c r="AM14" s="28">
        <f t="shared" si="26"/>
        <v>0.67525856303024501</v>
      </c>
      <c r="AN14" s="29">
        <f t="shared" si="27"/>
        <v>4.8325783774853439E-3</v>
      </c>
      <c r="AO14" s="29">
        <f t="shared" si="28"/>
        <v>0.19184629014297375</v>
      </c>
      <c r="AP14" s="29">
        <f t="shared" si="29"/>
        <v>1.2535412175376281</v>
      </c>
      <c r="AQ14" s="23">
        <f t="shared" si="170"/>
        <v>0.87193743155070402</v>
      </c>
      <c r="AR14" s="83">
        <f t="shared" si="171"/>
        <v>2.1254786490883322</v>
      </c>
      <c r="AS14" s="84">
        <f>'Health - Mortality'!AD12-'Health - Mortality'!O12</f>
        <v>23.393202045547952</v>
      </c>
      <c r="AT14" s="80">
        <f t="shared" si="30"/>
        <v>3.8906875163724668</v>
      </c>
      <c r="AU14" s="80">
        <f t="shared" si="31"/>
        <v>19.502514529175485</v>
      </c>
      <c r="AV14" s="80">
        <f t="shared" si="32"/>
        <v>18.98838207100383</v>
      </c>
      <c r="AW14" s="23">
        <f t="shared" si="33"/>
        <v>1.3158948775205653E-5</v>
      </c>
      <c r="AX14" s="23">
        <f t="shared" si="34"/>
        <v>3.4695603138018345E-8</v>
      </c>
      <c r="AY14" s="23">
        <f t="shared" si="35"/>
        <v>7.7852366491115704E-8</v>
      </c>
      <c r="AZ14" s="26">
        <f t="shared" si="36"/>
        <v>6.9953199549578106E-3</v>
      </c>
      <c r="BA14" s="28">
        <f t="shared" si="37"/>
        <v>0.24870413185138684</v>
      </c>
      <c r="BB14" s="29">
        <f t="shared" si="38"/>
        <v>1.779884440980341E-3</v>
      </c>
      <c r="BC14" s="29">
        <f t="shared" si="39"/>
        <v>7.0658807827336606E-2</v>
      </c>
      <c r="BD14" s="29">
        <f t="shared" si="40"/>
        <v>0.46169111702721549</v>
      </c>
      <c r="BE14" s="23">
        <f t="shared" si="172"/>
        <v>0.32114282411970374</v>
      </c>
      <c r="BF14" s="83">
        <f t="shared" si="173"/>
        <v>0.78283394114691918</v>
      </c>
      <c r="BG14" s="84">
        <f>'Health - Mortality'!AE12-'Health - Mortality'!P12</f>
        <v>19.900963860948451</v>
      </c>
      <c r="BH14" s="80">
        <f t="shared" si="41"/>
        <v>3.3098688886974088</v>
      </c>
      <c r="BI14" s="80">
        <f t="shared" si="42"/>
        <v>16.591094972251042</v>
      </c>
      <c r="BJ14" s="80">
        <f t="shared" si="43"/>
        <v>16.153714426830501</v>
      </c>
      <c r="BK14" s="23">
        <f t="shared" si="44"/>
        <v>1.1194524097793537E-5</v>
      </c>
      <c r="BL14" s="23">
        <f t="shared" si="45"/>
        <v>2.9516093728388064E-8</v>
      </c>
      <c r="BM14" s="23">
        <f t="shared" si="46"/>
        <v>6.623022915000505E-8</v>
      </c>
      <c r="BN14" s="26">
        <f t="shared" si="47"/>
        <v>5.9510283948443557E-3</v>
      </c>
      <c r="BO14" s="28">
        <f t="shared" si="48"/>
        <v>0.21157650544829784</v>
      </c>
      <c r="BP14" s="29">
        <f t="shared" si="49"/>
        <v>1.5141756082663077E-3</v>
      </c>
      <c r="BQ14" s="29">
        <f t="shared" si="50"/>
        <v>6.0110555976544584E-2</v>
      </c>
      <c r="BR14" s="29">
        <f t="shared" si="51"/>
        <v>0.39276787405972746</v>
      </c>
      <c r="BS14" s="23">
        <f t="shared" si="174"/>
        <v>0.27320123703310872</v>
      </c>
      <c r="BT14" s="83">
        <f t="shared" si="175"/>
        <v>0.66596911109283619</v>
      </c>
      <c r="BU14" s="84">
        <f>'Health - Mortality'!AF12-'Health - Mortality'!Q12</f>
        <v>10.27964237606065</v>
      </c>
      <c r="BV14" s="80">
        <f t="shared" si="52"/>
        <v>1.7096794268454647</v>
      </c>
      <c r="BW14" s="80">
        <f t="shared" si="53"/>
        <v>8.569962949215185</v>
      </c>
      <c r="BX14" s="80">
        <f t="shared" si="54"/>
        <v>8.3440384351773371</v>
      </c>
      <c r="BY14" s="23">
        <f t="shared" si="55"/>
        <v>5.782418635577894E-6</v>
      </c>
      <c r="BZ14" s="23">
        <f t="shared" si="56"/>
        <v>1.524624083467159E-8</v>
      </c>
      <c r="CA14" s="23">
        <f t="shared" si="57"/>
        <v>3.4210557584227087E-8</v>
      </c>
      <c r="CB14" s="26">
        <f t="shared" si="58"/>
        <v>3.0739437595193307E-3</v>
      </c>
      <c r="CC14" s="28">
        <f t="shared" si="59"/>
        <v>0.1092877122124222</v>
      </c>
      <c r="CD14" s="29">
        <f t="shared" si="60"/>
        <v>7.8213215481865253E-4</v>
      </c>
      <c r="CE14" s="29">
        <f t="shared" si="61"/>
        <v>3.1049502063444506E-2</v>
      </c>
      <c r="CF14" s="29">
        <f t="shared" si="62"/>
        <v>0.20288028812827583</v>
      </c>
      <c r="CG14" s="23">
        <f t="shared" si="176"/>
        <v>0.14111934643068536</v>
      </c>
      <c r="CH14" s="83">
        <f t="shared" si="177"/>
        <v>0.34399963455896121</v>
      </c>
      <c r="CI14" s="84">
        <f>'Health - Mortality'!AG12-'Health - Mortality'!R12</f>
        <v>453.41407941011767</v>
      </c>
      <c r="CJ14" s="80">
        <f t="shared" si="63"/>
        <v>75.410475875584126</v>
      </c>
      <c r="CK14" s="80">
        <f t="shared" si="64"/>
        <v>378.00360353453351</v>
      </c>
      <c r="CL14" s="80">
        <f t="shared" si="65"/>
        <v>368.03853356408337</v>
      </c>
      <c r="CM14" s="23">
        <f t="shared" si="66"/>
        <v>2.5505070375990977E-4</v>
      </c>
      <c r="CN14" s="23">
        <f t="shared" si="67"/>
        <v>6.7248061747909762E-7</v>
      </c>
      <c r="CO14" s="23">
        <f t="shared" si="68"/>
        <v>1.508957987612742E-6</v>
      </c>
      <c r="CP14" s="26">
        <f t="shared" si="69"/>
        <v>0.1355853957650083</v>
      </c>
      <c r="CQ14" s="28">
        <f t="shared" si="70"/>
        <v>4.8204583010622946</v>
      </c>
      <c r="CR14" s="29">
        <f t="shared" si="71"/>
        <v>3.4498255676677705E-2</v>
      </c>
      <c r="CS14" s="29">
        <f t="shared" si="72"/>
        <v>1.3695302695573246</v>
      </c>
      <c r="CT14" s="29">
        <f t="shared" si="73"/>
        <v>8.9486361204905478</v>
      </c>
      <c r="CU14" s="23">
        <f t="shared" si="178"/>
        <v>6.224486826296296</v>
      </c>
      <c r="CV14" s="83">
        <f t="shared" si="179"/>
        <v>15.173122946786844</v>
      </c>
      <c r="CW14" s="84">
        <f>'Health - Mortality'!AH12-'Health - Mortality'!S12</f>
        <v>165.57941867668842</v>
      </c>
      <c r="CX14" s="80">
        <f t="shared" si="74"/>
        <v>27.538674524302895</v>
      </c>
      <c r="CY14" s="80">
        <f t="shared" si="75"/>
        <v>138.04074415238551</v>
      </c>
      <c r="CZ14" s="80">
        <f t="shared" si="76"/>
        <v>134.40166330397804</v>
      </c>
      <c r="DA14" s="23">
        <f t="shared" si="77"/>
        <v>9.3140352669656776E-5</v>
      </c>
      <c r="DB14" s="23">
        <f t="shared" si="78"/>
        <v>2.4557894156791979E-7</v>
      </c>
      <c r="DC14" s="23">
        <f t="shared" si="79"/>
        <v>5.5104681954631E-7</v>
      </c>
      <c r="DD14" s="26">
        <f t="shared" si="80"/>
        <v>4.9513572761185502E-2</v>
      </c>
      <c r="DE14" s="28">
        <f t="shared" si="81"/>
        <v>1.7603526654565131</v>
      </c>
      <c r="DF14" s="29">
        <f t="shared" si="82"/>
        <v>1.2598199702434285E-2</v>
      </c>
      <c r="DG14" s="29">
        <f t="shared" si="83"/>
        <v>0.50013009342023096</v>
      </c>
      <c r="DH14" s="29">
        <f t="shared" si="84"/>
        <v>3.2678958022382432</v>
      </c>
      <c r="DI14" s="23">
        <f t="shared" si="180"/>
        <v>2.2730809585791785</v>
      </c>
      <c r="DJ14" s="83">
        <f t="shared" si="181"/>
        <v>5.5409767608174221</v>
      </c>
      <c r="DK14" s="84">
        <f>'Health - Mortality'!AI12-'Health - Mortality'!T12</f>
        <v>64.659918446952929</v>
      </c>
      <c r="DL14" s="80">
        <f t="shared" si="85"/>
        <v>10.754044573350704</v>
      </c>
      <c r="DM14" s="80">
        <f t="shared" si="86"/>
        <v>53.905873873602225</v>
      </c>
      <c r="DN14" s="80">
        <f t="shared" si="87"/>
        <v>52.484787407902346</v>
      </c>
      <c r="DO14" s="23">
        <f t="shared" si="88"/>
        <v>3.6371957673676317E-5</v>
      </c>
      <c r="DP14" s="23">
        <f t="shared" si="89"/>
        <v>9.5900290392227962E-8</v>
      </c>
      <c r="DQ14" s="23">
        <f t="shared" si="90"/>
        <v>2.1518762837239963E-7</v>
      </c>
      <c r="DR14" s="26">
        <f t="shared" si="91"/>
        <v>1.9335395681071222E-2</v>
      </c>
      <c r="DS14" s="28">
        <f t="shared" si="92"/>
        <v>0.68743000003248245</v>
      </c>
      <c r="DT14" s="29">
        <f t="shared" si="93"/>
        <v>4.9196848971212945E-3</v>
      </c>
      <c r="DU14" s="29">
        <f t="shared" si="94"/>
        <v>0.1953042915107899</v>
      </c>
      <c r="DV14" s="29">
        <f t="shared" si="95"/>
        <v>1.2761361149507007</v>
      </c>
      <c r="DW14" s="23">
        <f t="shared" si="182"/>
        <v>0.88765397644039357</v>
      </c>
      <c r="DX14" s="83">
        <f t="shared" si="183"/>
        <v>2.1637900913910944</v>
      </c>
      <c r="DY14" s="84">
        <f>'Health - Mortality'!AJ12-'Health - Mortality'!U12</f>
        <v>106.85843922944719</v>
      </c>
      <c r="DZ14" s="80">
        <f t="shared" si="96"/>
        <v>17.772376552793446</v>
      </c>
      <c r="EA14" s="80">
        <f t="shared" si="97"/>
        <v>89.086062676653739</v>
      </c>
      <c r="EB14" s="80">
        <f t="shared" si="98"/>
        <v>86.737543139633885</v>
      </c>
      <c r="EC14" s="23">
        <f t="shared" si="99"/>
        <v>6.0109117395766275E-5</v>
      </c>
      <c r="ED14" s="23">
        <f t="shared" si="100"/>
        <v>1.58486982339322E-7</v>
      </c>
      <c r="EE14" s="23">
        <f t="shared" si="101"/>
        <v>3.5562392687249894E-7</v>
      </c>
      <c r="EF14" s="26">
        <f t="shared" si="102"/>
        <v>3.1954110892641122E-2</v>
      </c>
      <c r="EG14" s="28">
        <f t="shared" si="103"/>
        <v>1.1360623187799825</v>
      </c>
      <c r="EH14" s="29">
        <f t="shared" si="104"/>
        <v>8.1303821940072185E-3</v>
      </c>
      <c r="EI14" s="29">
        <f t="shared" si="105"/>
        <v>0.32276427602948005</v>
      </c>
      <c r="EJ14" s="29">
        <f t="shared" si="106"/>
        <v>2.108971318914314</v>
      </c>
      <c r="EK14" s="23">
        <f t="shared" si="184"/>
        <v>1.4669569770034698</v>
      </c>
      <c r="EL14" s="83">
        <f t="shared" si="185"/>
        <v>3.5759282959177838</v>
      </c>
      <c r="EM14" s="84">
        <f>'Health - Mortality'!AK12-'Health - Mortality'!V12</f>
        <v>15.449014157068007</v>
      </c>
      <c r="EN14" s="80">
        <f t="shared" si="107"/>
        <v>2.5694339066594454</v>
      </c>
      <c r="EO14" s="80">
        <f t="shared" si="108"/>
        <v>12.87958025040856</v>
      </c>
      <c r="EP14" s="80">
        <f t="shared" si="109"/>
        <v>12.540044020633905</v>
      </c>
      <c r="EQ14" s="23">
        <f t="shared" si="110"/>
        <v>8.690250506299296E-6</v>
      </c>
      <c r="ER14" s="23">
        <f t="shared" si="111"/>
        <v>2.2913189183063082E-8</v>
      </c>
      <c r="ES14" s="23">
        <f t="shared" si="112"/>
        <v>5.1414180484599015E-8</v>
      </c>
      <c r="ET14" s="26">
        <f t="shared" si="113"/>
        <v>4.6197522172015306E-3</v>
      </c>
      <c r="EU14" s="28">
        <f t="shared" si="114"/>
        <v>0.16424573456905669</v>
      </c>
      <c r="EV14" s="29">
        <f t="shared" si="115"/>
        <v>1.1754466050911362E-3</v>
      </c>
      <c r="EW14" s="29">
        <f t="shared" si="116"/>
        <v>4.6663510207822063E-2</v>
      </c>
      <c r="EX14" s="29">
        <f t="shared" si="117"/>
        <v>0.30490364633530104</v>
      </c>
      <c r="EY14" s="23">
        <f t="shared" si="186"/>
        <v>0.21208469138196989</v>
      </c>
      <c r="EZ14" s="83">
        <f t="shared" si="187"/>
        <v>0.51698833771727093</v>
      </c>
      <c r="FA14" s="84">
        <f>'Health - Mortality'!AL12-'Health - Mortality'!W12</f>
        <v>73.305992065943769</v>
      </c>
      <c r="FB14" s="80">
        <f t="shared" si="118"/>
        <v>12.19203372205927</v>
      </c>
      <c r="FC14" s="80">
        <f t="shared" si="119"/>
        <v>61.113958343884498</v>
      </c>
      <c r="FD14" s="80">
        <f t="shared" si="120"/>
        <v>59.502849705306801</v>
      </c>
      <c r="FE14" s="23">
        <f t="shared" si="121"/>
        <v>4.1235474845777608E-5</v>
      </c>
      <c r="FF14" s="23">
        <f t="shared" si="122"/>
        <v>1.0872370543402156E-7</v>
      </c>
      <c r="FG14" s="23">
        <f t="shared" si="123"/>
        <v>2.4396168379175789E-7</v>
      </c>
      <c r="FH14" s="26">
        <f t="shared" si="124"/>
        <v>2.1920849831435024E-2</v>
      </c>
      <c r="FI14" s="28">
        <f t="shared" si="125"/>
        <v>0.7793504745851968</v>
      </c>
      <c r="FJ14" s="29">
        <f t="shared" si="126"/>
        <v>5.5775260887653061E-3</v>
      </c>
      <c r="FK14" s="29">
        <f t="shared" si="127"/>
        <v>0.22141962420939945</v>
      </c>
      <c r="FL14" s="29">
        <f t="shared" si="128"/>
        <v>1.4467760888747117</v>
      </c>
      <c r="FM14" s="23">
        <f t="shared" si="188"/>
        <v>1.0063476248833616</v>
      </c>
      <c r="FN14" s="83">
        <f t="shared" si="189"/>
        <v>2.4531237137580733</v>
      </c>
      <c r="FO14" s="84">
        <f>'Health - Mortality'!AM12-'Health - Mortality'!X12</f>
        <v>43.676567220849051</v>
      </c>
      <c r="FP14" s="80">
        <f t="shared" si="129"/>
        <v>7.2641562498922916</v>
      </c>
      <c r="FQ14" s="80">
        <f t="shared" si="130"/>
        <v>36.412410970956756</v>
      </c>
      <c r="FR14" s="80">
        <f t="shared" si="131"/>
        <v>35.452493605816557</v>
      </c>
      <c r="FS14" s="23">
        <f t="shared" si="132"/>
        <v>2.456857806883087E-5</v>
      </c>
      <c r="FT14" s="23">
        <f t="shared" si="133"/>
        <v>6.4778854975689735E-8</v>
      </c>
      <c r="FU14" s="23">
        <f t="shared" si="134"/>
        <v>1.4535522378384787E-7</v>
      </c>
      <c r="FV14" s="26">
        <f t="shared" si="135"/>
        <v>1.3060698644382819E-2</v>
      </c>
      <c r="FW14" s="28">
        <f t="shared" si="136"/>
        <v>0.46434612550090343</v>
      </c>
      <c r="FX14" s="29">
        <f t="shared" si="137"/>
        <v>3.3231552602528834E-3</v>
      </c>
      <c r="FY14" s="29">
        <f t="shared" si="138"/>
        <v>0.13192440110622033</v>
      </c>
      <c r="FZ14" s="29">
        <f t="shared" si="139"/>
        <v>0.86200611052926601</v>
      </c>
      <c r="GA14" s="23">
        <f t="shared" si="190"/>
        <v>0.5995936818673766</v>
      </c>
      <c r="GB14" s="83">
        <f t="shared" si="191"/>
        <v>1.4615997923966426</v>
      </c>
      <c r="GC14" s="84">
        <f>'Health - Mortality'!AN12-'Health - Mortality'!Y12</f>
        <v>133.46763613051144</v>
      </c>
      <c r="GD14" s="80">
        <f t="shared" si="140"/>
        <v>22.197938731160146</v>
      </c>
      <c r="GE14" s="80">
        <f t="shared" si="141"/>
        <v>111.26969739935129</v>
      </c>
      <c r="GF14" s="80">
        <f t="shared" si="142"/>
        <v>108.33636472789688</v>
      </c>
      <c r="GG14" s="23">
        <f t="shared" si="143"/>
        <v>7.5077100756432534E-5</v>
      </c>
      <c r="GH14" s="23">
        <f t="shared" si="144"/>
        <v>1.9795238488246872E-7</v>
      </c>
      <c r="GI14" s="23">
        <f t="shared" si="145"/>
        <v>4.441790953843772E-7</v>
      </c>
      <c r="GJ14" s="26">
        <f t="shared" si="146"/>
        <v>3.9911116765757211E-2</v>
      </c>
      <c r="GK14" s="28">
        <f t="shared" si="147"/>
        <v>1.4189572042965748</v>
      </c>
      <c r="GL14" s="29">
        <f t="shared" si="148"/>
        <v>1.0154957344470646E-2</v>
      </c>
      <c r="GM14" s="29">
        <f t="shared" si="149"/>
        <v>0.40313694697086072</v>
      </c>
      <c r="GN14" s="29">
        <f t="shared" si="150"/>
        <v>2.6341337065399761</v>
      </c>
      <c r="GO14" s="23">
        <f t="shared" si="192"/>
        <v>1.8322491086119062</v>
      </c>
      <c r="GP14" s="83">
        <f t="shared" si="193"/>
        <v>4.4663828151518823</v>
      </c>
      <c r="GQ14" s="84">
        <f>'Health - Mortality'!AO12-'Health - Mortality'!Z12</f>
        <v>140.35331135121669</v>
      </c>
      <c r="GR14" s="80">
        <f t="shared" si="151"/>
        <v>23.343143674495028</v>
      </c>
      <c r="GS14" s="80">
        <f t="shared" si="152"/>
        <v>117.01016767672166</v>
      </c>
      <c r="GT14" s="80">
        <f t="shared" si="153"/>
        <v>113.92550261731539</v>
      </c>
      <c r="GU14" s="23">
        <f t="shared" si="154"/>
        <v>7.8950373313799559E-5</v>
      </c>
      <c r="GV14" s="23">
        <f t="shared" si="155"/>
        <v>2.0816486688171442E-7</v>
      </c>
      <c r="GW14" s="23">
        <f t="shared" si="156"/>
        <v>4.6709456073099315E-7</v>
      </c>
      <c r="GX14" s="26">
        <f t="shared" si="157"/>
        <v>4.1970155164218988E-2</v>
      </c>
      <c r="GY14" s="28">
        <f t="shared" si="158"/>
        <v>1.4921620556308117</v>
      </c>
      <c r="GZ14" s="29">
        <f t="shared" si="159"/>
        <v>1.067885767103195E-2</v>
      </c>
      <c r="HA14" s="29">
        <f t="shared" si="160"/>
        <v>0.42393502331944938</v>
      </c>
      <c r="HB14" s="29">
        <f t="shared" si="161"/>
        <v>2.7700302408384534</v>
      </c>
      <c r="HC14" s="23">
        <f t="shared" si="194"/>
        <v>1.9267759366212931</v>
      </c>
      <c r="HD14" s="83">
        <f t="shared" si="195"/>
        <v>4.6968061774597469</v>
      </c>
    </row>
    <row r="15" spans="2:212" x14ac:dyDescent="0.3">
      <c r="B15" s="6">
        <v>2032</v>
      </c>
      <c r="C15" s="84">
        <f>'Health - Mortality'!AA13-'Health - Mortality'!L13</f>
        <v>625.83362596822008</v>
      </c>
      <c r="D15" s="80">
        <f t="shared" si="0"/>
        <v>104.08678004574705</v>
      </c>
      <c r="E15" s="80">
        <f t="shared" si="1"/>
        <v>521.74684592247297</v>
      </c>
      <c r="F15" s="80">
        <f t="shared" si="2"/>
        <v>507.99236374859044</v>
      </c>
      <c r="G15" s="95">
        <f t="shared" si="3"/>
        <v>3.5203870807777317E-4</v>
      </c>
      <c r="H15" s="95">
        <f t="shared" si="4"/>
        <v>9.2820448755764852E-7</v>
      </c>
      <c r="I15" s="95">
        <f t="shared" si="5"/>
        <v>2.0827686913692211E-6</v>
      </c>
      <c r="J15" s="118">
        <f t="shared" si="6"/>
        <v>0.18714438680498069</v>
      </c>
      <c r="K15" s="28">
        <f t="shared" si="163"/>
        <v>6.6535315826699124</v>
      </c>
      <c r="L15" s="29">
        <f t="shared" si="164"/>
        <v>4.7616890211707369E-2</v>
      </c>
      <c r="M15" s="29">
        <f t="shared" si="165"/>
        <v>1.8903208642867051</v>
      </c>
      <c r="N15" s="29">
        <f t="shared" si="166"/>
        <v>12.538673915933707</v>
      </c>
      <c r="O15" s="23">
        <f t="shared" si="162"/>
        <v>8.5914693371683253</v>
      </c>
      <c r="P15" s="83">
        <f t="shared" si="167"/>
        <v>21.130143253102034</v>
      </c>
      <c r="Q15" s="84">
        <f>'Health - Mortality'!AB13-'Health - Mortality'!M13</f>
        <v>114.05082376483028</v>
      </c>
      <c r="R15" s="80">
        <f t="shared" si="8"/>
        <v>18.968592473567362</v>
      </c>
      <c r="S15" s="80">
        <f t="shared" si="9"/>
        <v>95.082231291262929</v>
      </c>
      <c r="T15" s="80">
        <f t="shared" si="10"/>
        <v>92.57563855271674</v>
      </c>
      <c r="U15" s="23">
        <f t="shared" si="11"/>
        <v>6.4154917517032697E-5</v>
      </c>
      <c r="V15" s="23">
        <f t="shared" si="12"/>
        <v>1.6915435993772843E-7</v>
      </c>
      <c r="W15" s="23">
        <f t="shared" si="13"/>
        <v>3.7956011806613866E-7</v>
      </c>
      <c r="X15" s="26">
        <f t="shared" si="14"/>
        <v>3.4104865242820845E-2</v>
      </c>
      <c r="Y15" s="28">
        <f t="shared" si="15"/>
        <v>1.2125279410719179</v>
      </c>
      <c r="Z15" s="29">
        <f t="shared" si="16"/>
        <v>8.6776186648054691E-3</v>
      </c>
      <c r="AA15" s="29">
        <f t="shared" si="17"/>
        <v>0.34448876315682747</v>
      </c>
      <c r="AB15" s="29">
        <f t="shared" si="18"/>
        <v>2.2850259712689964</v>
      </c>
      <c r="AC15" s="23">
        <f t="shared" si="168"/>
        <v>1.5656943228935507</v>
      </c>
      <c r="AD15" s="83">
        <f t="shared" si="169"/>
        <v>3.8507202941625471</v>
      </c>
      <c r="AE15" s="84">
        <f>'Health - Mortality'!AC13-'Health - Mortality'!N13</f>
        <v>86.671220166306284</v>
      </c>
      <c r="AF15" s="80">
        <f t="shared" si="19"/>
        <v>14.414898553573314</v>
      </c>
      <c r="AG15" s="80">
        <f t="shared" si="20"/>
        <v>72.256321612732975</v>
      </c>
      <c r="AH15" s="80">
        <f t="shared" si="21"/>
        <v>70.351473897141148</v>
      </c>
      <c r="AI15" s="23">
        <f t="shared" si="22"/>
        <v>4.875357141071881E-5</v>
      </c>
      <c r="AJ15" s="23">
        <f t="shared" si="23"/>
        <v>1.2854632950730526E-7</v>
      </c>
      <c r="AK15" s="23">
        <f t="shared" si="24"/>
        <v>2.8844104297827872E-7</v>
      </c>
      <c r="AL15" s="26">
        <f t="shared" si="25"/>
        <v>2.5917482983706795E-2</v>
      </c>
      <c r="AM15" s="28">
        <f t="shared" si="26"/>
        <v>0.92144249966258551</v>
      </c>
      <c r="AN15" s="29">
        <f t="shared" si="27"/>
        <v>6.5944267037247595E-3</v>
      </c>
      <c r="AO15" s="29">
        <f t="shared" si="28"/>
        <v>0.26178909060708577</v>
      </c>
      <c r="AP15" s="29">
        <f t="shared" si="29"/>
        <v>1.7364713599083552</v>
      </c>
      <c r="AQ15" s="23">
        <f t="shared" si="170"/>
        <v>1.1898260169733961</v>
      </c>
      <c r="AR15" s="83">
        <f t="shared" si="171"/>
        <v>2.9262973768817515</v>
      </c>
      <c r="AS15" s="84">
        <f>'Health - Mortality'!AD13-'Health - Mortality'!O13</f>
        <v>31.921832240424578</v>
      </c>
      <c r="AT15" s="80">
        <f t="shared" si="30"/>
        <v>5.3091438254470429</v>
      </c>
      <c r="AU15" s="80">
        <f t="shared" si="31"/>
        <v>26.612688414977534</v>
      </c>
      <c r="AV15" s="80">
        <f t="shared" si="32"/>
        <v>25.911114938753222</v>
      </c>
      <c r="AW15" s="23">
        <f t="shared" si="33"/>
        <v>1.7956402652555984E-5</v>
      </c>
      <c r="AX15" s="23">
        <f t="shared" si="34"/>
        <v>4.734483208821562E-8</v>
      </c>
      <c r="AY15" s="23">
        <f t="shared" si="35"/>
        <v>1.0623557124888822E-7</v>
      </c>
      <c r="AZ15" s="26">
        <f t="shared" si="36"/>
        <v>9.5456547434366861E-3</v>
      </c>
      <c r="BA15" s="28">
        <f t="shared" si="37"/>
        <v>0.33937601013330809</v>
      </c>
      <c r="BB15" s="29">
        <f t="shared" si="38"/>
        <v>2.4287898861254614E-3</v>
      </c>
      <c r="BC15" s="29">
        <f t="shared" si="39"/>
        <v>9.6419404465490952E-2</v>
      </c>
      <c r="BD15" s="29">
        <f t="shared" si="40"/>
        <v>0.63955886781025795</v>
      </c>
      <c r="BE15" s="23">
        <f t="shared" si="172"/>
        <v>0.4382242044849245</v>
      </c>
      <c r="BF15" s="83">
        <f t="shared" si="173"/>
        <v>1.0777830722951824</v>
      </c>
      <c r="BG15" s="84">
        <f>'Health - Mortality'!AE13-'Health - Mortality'!P13</f>
        <v>27.156403324137898</v>
      </c>
      <c r="BH15" s="80">
        <f t="shared" si="41"/>
        <v>4.5165719167935405</v>
      </c>
      <c r="BI15" s="80">
        <f t="shared" si="42"/>
        <v>22.639831407344357</v>
      </c>
      <c r="BJ15" s="80">
        <f t="shared" si="43"/>
        <v>22.042991848187164</v>
      </c>
      <c r="BK15" s="23">
        <f t="shared" si="44"/>
        <v>1.5275793350793702E-5</v>
      </c>
      <c r="BL15" s="23">
        <f t="shared" si="45"/>
        <v>4.0276991176997319E-8</v>
      </c>
      <c r="BM15" s="23">
        <f t="shared" si="46"/>
        <v>9.0376266577567375E-8</v>
      </c>
      <c r="BN15" s="26">
        <f t="shared" si="47"/>
        <v>8.12063819687215E-3</v>
      </c>
      <c r="BO15" s="28">
        <f t="shared" si="48"/>
        <v>0.28871249433000096</v>
      </c>
      <c r="BP15" s="29">
        <f t="shared" si="49"/>
        <v>2.0662096473799624E-3</v>
      </c>
      <c r="BQ15" s="29">
        <f t="shared" si="50"/>
        <v>8.2025499545800143E-2</v>
      </c>
      <c r="BR15" s="29">
        <f t="shared" si="51"/>
        <v>0.54408275919043403</v>
      </c>
      <c r="BS15" s="23">
        <f t="shared" si="174"/>
        <v>0.37280420352318105</v>
      </c>
      <c r="BT15" s="83">
        <f t="shared" si="175"/>
        <v>0.91688696271361514</v>
      </c>
      <c r="BU15" s="84">
        <f>'Health - Mortality'!AF13-'Health - Mortality'!Q13</f>
        <v>14.027366530723299</v>
      </c>
      <c r="BV15" s="80">
        <f t="shared" si="52"/>
        <v>2.3329897182268251</v>
      </c>
      <c r="BW15" s="80">
        <f t="shared" si="53"/>
        <v>11.694376812496474</v>
      </c>
      <c r="BX15" s="80">
        <f t="shared" si="54"/>
        <v>11.386085351495385</v>
      </c>
      <c r="BY15" s="23">
        <f t="shared" si="55"/>
        <v>7.8905571485863021E-6</v>
      </c>
      <c r="BZ15" s="23">
        <f t="shared" si="56"/>
        <v>2.0804673993491202E-8</v>
      </c>
      <c r="CA15" s="23">
        <f t="shared" si="57"/>
        <v>4.6682949941131084E-8</v>
      </c>
      <c r="CB15" s="26">
        <f t="shared" si="58"/>
        <v>4.1946338434908992E-3</v>
      </c>
      <c r="CC15" s="28">
        <f t="shared" si="59"/>
        <v>0.14913153010828112</v>
      </c>
      <c r="CD15" s="29">
        <f t="shared" si="60"/>
        <v>1.0672797758660988E-3</v>
      </c>
      <c r="CE15" s="29">
        <f t="shared" si="61"/>
        <v>4.2369445366570571E-2</v>
      </c>
      <c r="CF15" s="29">
        <f t="shared" si="62"/>
        <v>0.28104046751389022</v>
      </c>
      <c r="CG15" s="23">
        <f t="shared" si="176"/>
        <v>0.1925682552507178</v>
      </c>
      <c r="CH15" s="83">
        <f t="shared" si="177"/>
        <v>0.47360872276460803</v>
      </c>
      <c r="CI15" s="84">
        <f>'Health - Mortality'!AG13-'Health - Mortality'!R13</f>
        <v>618.71855551005683</v>
      </c>
      <c r="CJ15" s="80">
        <f t="shared" si="63"/>
        <v>102.90342277145058</v>
      </c>
      <c r="CK15" s="80">
        <f t="shared" si="64"/>
        <v>515.81513273860628</v>
      </c>
      <c r="CL15" s="80">
        <f t="shared" si="65"/>
        <v>502.2170245684876</v>
      </c>
      <c r="CM15" s="23">
        <f t="shared" si="66"/>
        <v>3.4803639802596188E-4</v>
      </c>
      <c r="CN15" s="23">
        <f t="shared" si="67"/>
        <v>9.1765177825197876E-7</v>
      </c>
      <c r="CO15" s="23">
        <f t="shared" si="68"/>
        <v>2.059089800730799E-6</v>
      </c>
      <c r="CP15" s="26">
        <f t="shared" si="69"/>
        <v>0.18501675185103084</v>
      </c>
      <c r="CQ15" s="28">
        <f t="shared" si="70"/>
        <v>6.5778879226906799</v>
      </c>
      <c r="CR15" s="29">
        <f t="shared" si="71"/>
        <v>4.707553622432651E-2</v>
      </c>
      <c r="CS15" s="29">
        <f t="shared" si="72"/>
        <v>1.8688299031432731</v>
      </c>
      <c r="CT15" s="29">
        <f t="shared" si="73"/>
        <v>12.396122374019066</v>
      </c>
      <c r="CU15" s="23">
        <f t="shared" si="178"/>
        <v>8.4937933620582804</v>
      </c>
      <c r="CV15" s="83">
        <f t="shared" si="179"/>
        <v>20.889915736077349</v>
      </c>
      <c r="CW15" s="84">
        <f>'Health - Mortality'!AH13-'Health - Mortality'!S13</f>
        <v>225.94591433754545</v>
      </c>
      <c r="CX15" s="80">
        <f t="shared" si="74"/>
        <v>37.578649839249039</v>
      </c>
      <c r="CY15" s="80">
        <f t="shared" si="75"/>
        <v>188.36726449829641</v>
      </c>
      <c r="CZ15" s="80">
        <f t="shared" si="76"/>
        <v>183.40145741784534</v>
      </c>
      <c r="DA15" s="23">
        <f t="shared" si="77"/>
        <v>1.270972099905668E-4</v>
      </c>
      <c r="DB15" s="23">
        <f t="shared" si="78"/>
        <v>3.3511144644707145E-7</v>
      </c>
      <c r="DC15" s="23">
        <f t="shared" si="79"/>
        <v>7.5194597541316601E-7</v>
      </c>
      <c r="DD15" s="26">
        <f t="shared" si="80"/>
        <v>6.7565096912734213E-2</v>
      </c>
      <c r="DE15" s="28">
        <f t="shared" si="81"/>
        <v>2.4021372688217126</v>
      </c>
      <c r="DF15" s="29">
        <f t="shared" si="82"/>
        <v>1.7191217202734765E-2</v>
      </c>
      <c r="DG15" s="29">
        <f t="shared" si="83"/>
        <v>0.68246616728498943</v>
      </c>
      <c r="DH15" s="29">
        <f t="shared" si="84"/>
        <v>4.5268614931531923</v>
      </c>
      <c r="DI15" s="23">
        <f t="shared" si="180"/>
        <v>3.1017946533094367</v>
      </c>
      <c r="DJ15" s="83">
        <f t="shared" si="181"/>
        <v>7.628656146462629</v>
      </c>
      <c r="DK15" s="84">
        <f>'Health - Mortality'!AI13-'Health - Mortality'!T13</f>
        <v>88.233456254697899</v>
      </c>
      <c r="DL15" s="80">
        <f t="shared" si="85"/>
        <v>14.67472499524202</v>
      </c>
      <c r="DM15" s="80">
        <f t="shared" si="86"/>
        <v>73.558731259455882</v>
      </c>
      <c r="DN15" s="80">
        <f t="shared" si="87"/>
        <v>71.619548941922631</v>
      </c>
      <c r="DO15" s="23">
        <f t="shared" si="88"/>
        <v>4.9632347416752378E-5</v>
      </c>
      <c r="DP15" s="23">
        <f t="shared" si="89"/>
        <v>1.3086335832726714E-7</v>
      </c>
      <c r="DQ15" s="23">
        <f t="shared" si="90"/>
        <v>2.9364015066188281E-7</v>
      </c>
      <c r="DR15" s="26">
        <f t="shared" si="91"/>
        <v>2.6384641830204295E-2</v>
      </c>
      <c r="DS15" s="28">
        <f t="shared" si="92"/>
        <v>0.93805136617661999</v>
      </c>
      <c r="DT15" s="29">
        <f t="shared" si="93"/>
        <v>6.7132902821888047E-3</v>
      </c>
      <c r="DU15" s="29">
        <f t="shared" si="94"/>
        <v>0.26650780074072483</v>
      </c>
      <c r="DV15" s="29">
        <f t="shared" si="95"/>
        <v>1.7677710026236877</v>
      </c>
      <c r="DW15" s="23">
        <f t="shared" si="182"/>
        <v>1.2112724571995337</v>
      </c>
      <c r="DX15" s="83">
        <f t="shared" si="183"/>
        <v>2.9790434598232212</v>
      </c>
      <c r="DY15" s="84">
        <f>'Health - Mortality'!AJ13-'Health - Mortality'!U13</f>
        <v>145.8165993656778</v>
      </c>
      <c r="DZ15" s="80">
        <f t="shared" si="96"/>
        <v>24.251781424676665</v>
      </c>
      <c r="EA15" s="80">
        <f t="shared" si="97"/>
        <v>121.56481794100114</v>
      </c>
      <c r="EB15" s="80">
        <f t="shared" si="98"/>
        <v>118.36008151679813</v>
      </c>
      <c r="EC15" s="23">
        <f t="shared" si="99"/>
        <v>8.2023536491141101E-5</v>
      </c>
      <c r="ED15" s="23">
        <f t="shared" si="100"/>
        <v>2.1626773678423423E-7</v>
      </c>
      <c r="EE15" s="23">
        <f t="shared" si="101"/>
        <v>4.8527633421887242E-7</v>
      </c>
      <c r="EF15" s="26">
        <f t="shared" si="102"/>
        <v>4.3603854030788432E-2</v>
      </c>
      <c r="EG15" s="28">
        <f t="shared" si="103"/>
        <v>1.5502448396825668</v>
      </c>
      <c r="EH15" s="29">
        <f t="shared" si="104"/>
        <v>1.1094534897031216E-2</v>
      </c>
      <c r="EI15" s="29">
        <f t="shared" si="105"/>
        <v>0.44043680093704862</v>
      </c>
      <c r="EJ15" s="29">
        <f t="shared" si="106"/>
        <v>2.9214582200628247</v>
      </c>
      <c r="EK15" s="23">
        <f t="shared" si="184"/>
        <v>2.0017761755166465</v>
      </c>
      <c r="EL15" s="83">
        <f t="shared" si="185"/>
        <v>4.9232343955794713</v>
      </c>
      <c r="EM15" s="84">
        <f>'Health - Mortality'!AK13-'Health - Mortality'!V13</f>
        <v>21.081373864153164</v>
      </c>
      <c r="EN15" s="80">
        <f t="shared" si="107"/>
        <v>3.5061911559410159</v>
      </c>
      <c r="EO15" s="80">
        <f t="shared" si="108"/>
        <v>17.57518270821215</v>
      </c>
      <c r="EP15" s="80">
        <f t="shared" si="109"/>
        <v>17.111859280093615</v>
      </c>
      <c r="EQ15" s="23">
        <f t="shared" si="110"/>
        <v>1.1858518481104874E-5</v>
      </c>
      <c r="ER15" s="23">
        <f t="shared" si="111"/>
        <v>3.1266817589601922E-8</v>
      </c>
      <c r="ES15" s="23">
        <f t="shared" si="112"/>
        <v>7.0158623048383828E-8</v>
      </c>
      <c r="ET15" s="26">
        <f t="shared" si="113"/>
        <v>6.3040089587864875E-3</v>
      </c>
      <c r="EU15" s="28">
        <f t="shared" si="114"/>
        <v>0.22412599929288213</v>
      </c>
      <c r="EV15" s="29">
        <f t="shared" si="115"/>
        <v>1.6039877423465786E-3</v>
      </c>
      <c r="EW15" s="29">
        <f t="shared" si="116"/>
        <v>6.3675966278713164E-2</v>
      </c>
      <c r="EX15" s="29">
        <f t="shared" si="117"/>
        <v>0.42236860023869466</v>
      </c>
      <c r="EY15" s="23">
        <f t="shared" si="186"/>
        <v>0.28940595331394187</v>
      </c>
      <c r="EZ15" s="83">
        <f t="shared" si="187"/>
        <v>0.71177455355263652</v>
      </c>
      <c r="FA15" s="84">
        <f>'Health - Mortality'!AL13-'Health - Mortality'!W13</f>
        <v>100.03169195866008</v>
      </c>
      <c r="FB15" s="80">
        <f t="shared" si="118"/>
        <v>16.636972330140818</v>
      </c>
      <c r="FC15" s="80">
        <f t="shared" si="119"/>
        <v>83.394719628519255</v>
      </c>
      <c r="FD15" s="80">
        <f t="shared" si="120"/>
        <v>81.196237369372369</v>
      </c>
      <c r="FE15" s="23">
        <f t="shared" si="121"/>
        <v>5.6268992496975044E-5</v>
      </c>
      <c r="FF15" s="23">
        <f t="shared" si="122"/>
        <v>1.4836189926734228E-7</v>
      </c>
      <c r="FG15" s="23">
        <f t="shared" si="123"/>
        <v>3.3290457321442675E-7</v>
      </c>
      <c r="FH15" s="26">
        <f t="shared" si="124"/>
        <v>2.9912693846876781E-2</v>
      </c>
      <c r="FI15" s="28">
        <f t="shared" si="125"/>
        <v>1.0634839581928284</v>
      </c>
      <c r="FJ15" s="29">
        <f t="shared" si="126"/>
        <v>7.6109654324146587E-3</v>
      </c>
      <c r="FK15" s="29">
        <f t="shared" si="127"/>
        <v>0.30214419064941372</v>
      </c>
      <c r="FL15" s="29">
        <f t="shared" si="128"/>
        <v>2.0041504877407443</v>
      </c>
      <c r="FM15" s="23">
        <f t="shared" si="188"/>
        <v>1.3732391142746567</v>
      </c>
      <c r="FN15" s="83">
        <f t="shared" si="189"/>
        <v>3.3773896020154011</v>
      </c>
      <c r="FO15" s="84">
        <f>'Health - Mortality'!AM13-'Health - Mortality'!X13</f>
        <v>59.600051713609275</v>
      </c>
      <c r="FP15" s="80">
        <f t="shared" si="129"/>
        <v>9.9125026461020109</v>
      </c>
      <c r="FQ15" s="80">
        <f t="shared" si="130"/>
        <v>49.687549067507263</v>
      </c>
      <c r="FR15" s="80">
        <f t="shared" si="131"/>
        <v>48.377667631224476</v>
      </c>
      <c r="FS15" s="23">
        <f t="shared" si="132"/>
        <v>3.3525723668438557E-5</v>
      </c>
      <c r="FT15" s="23">
        <f t="shared" si="133"/>
        <v>8.839575434070598E-8</v>
      </c>
      <c r="FU15" s="23">
        <f t="shared" si="134"/>
        <v>1.9834843728802037E-7</v>
      </c>
      <c r="FV15" s="26">
        <f t="shared" si="135"/>
        <v>1.7822332755343097E-2</v>
      </c>
      <c r="FW15" s="28">
        <f t="shared" si="136"/>
        <v>0.63363617733348876</v>
      </c>
      <c r="FX15" s="29">
        <f t="shared" si="137"/>
        <v>4.5347021976782165E-3</v>
      </c>
      <c r="FY15" s="29">
        <f t="shared" si="138"/>
        <v>0.1800210416826073</v>
      </c>
      <c r="FZ15" s="29">
        <f t="shared" si="139"/>
        <v>1.1940962946079874</v>
      </c>
      <c r="GA15" s="23">
        <f t="shared" si="190"/>
        <v>0.81819192121377426</v>
      </c>
      <c r="GB15" s="83">
        <f t="shared" si="191"/>
        <v>2.0122882158217616</v>
      </c>
      <c r="GC15" s="84">
        <f>'Health - Mortality'!AN13-'Health - Mortality'!Y13</f>
        <v>182.12690514914129</v>
      </c>
      <c r="GD15" s="80">
        <f t="shared" si="140"/>
        <v>30.290803066618771</v>
      </c>
      <c r="GE15" s="80">
        <f t="shared" si="141"/>
        <v>151.83610208252253</v>
      </c>
      <c r="GF15" s="80">
        <f t="shared" si="142"/>
        <v>147.83334293645922</v>
      </c>
      <c r="GG15" s="23">
        <f t="shared" si="143"/>
        <v>1.0244850665496622E-4</v>
      </c>
      <c r="GH15" s="23">
        <f t="shared" si="144"/>
        <v>2.7012132881623656E-7</v>
      </c>
      <c r="GI15" s="23">
        <f t="shared" si="145"/>
        <v>6.061167060394829E-7</v>
      </c>
      <c r="GJ15" s="26">
        <f t="shared" si="146"/>
        <v>5.4461803537791571E-2</v>
      </c>
      <c r="GK15" s="28">
        <f t="shared" si="147"/>
        <v>1.9362767757788617</v>
      </c>
      <c r="GL15" s="29">
        <f t="shared" si="148"/>
        <v>1.3857224168272935E-2</v>
      </c>
      <c r="GM15" s="29">
        <f t="shared" si="149"/>
        <v>0.55011152240143468</v>
      </c>
      <c r="GN15" s="29">
        <f t="shared" si="150"/>
        <v>3.6489408370320353</v>
      </c>
      <c r="GO15" s="23">
        <f t="shared" si="192"/>
        <v>2.5002455223485693</v>
      </c>
      <c r="GP15" s="83">
        <f t="shared" si="193"/>
        <v>6.1491863593806046</v>
      </c>
      <c r="GQ15" s="84">
        <f>'Health - Mortality'!AO13-'Health - Mortality'!Z13</f>
        <v>191.52294117830206</v>
      </c>
      <c r="GR15" s="80">
        <f t="shared" si="151"/>
        <v>31.853523724135556</v>
      </c>
      <c r="GS15" s="80">
        <f t="shared" si="152"/>
        <v>159.66941745416651</v>
      </c>
      <c r="GT15" s="80">
        <f t="shared" si="153"/>
        <v>155.46015356833578</v>
      </c>
      <c r="GU15" s="23">
        <f t="shared" si="154"/>
        <v>1.0773388642285669E-4</v>
      </c>
      <c r="GV15" s="23">
        <f t="shared" si="155"/>
        <v>2.8405704982200308E-7</v>
      </c>
      <c r="GW15" s="23">
        <f t="shared" si="156"/>
        <v>6.3738662963017676E-7</v>
      </c>
      <c r="GX15" s="26">
        <f t="shared" si="157"/>
        <v>5.7271520574574894E-2</v>
      </c>
      <c r="GY15" s="28">
        <f t="shared" si="158"/>
        <v>2.0361704533919913</v>
      </c>
      <c r="GZ15" s="29">
        <f t="shared" si="159"/>
        <v>1.4572126655868758E-2</v>
      </c>
      <c r="HA15" s="29">
        <f t="shared" si="160"/>
        <v>0.57849210505234838</v>
      </c>
      <c r="HB15" s="29">
        <f t="shared" si="161"/>
        <v>3.837191878496518</v>
      </c>
      <c r="HC15" s="23">
        <f t="shared" si="194"/>
        <v>2.6292346851002084</v>
      </c>
      <c r="HD15" s="83">
        <f t="shared" si="195"/>
        <v>6.4664265635967269</v>
      </c>
    </row>
    <row r="16" spans="2:212" x14ac:dyDescent="0.3">
      <c r="B16" s="6">
        <v>2033</v>
      </c>
      <c r="C16" s="84">
        <f>'Health - Mortality'!AA14-'Health - Mortality'!L14</f>
        <v>800.68919552264651</v>
      </c>
      <c r="D16" s="80">
        <f t="shared" si="0"/>
        <v>133.16823628713735</v>
      </c>
      <c r="E16" s="80">
        <f t="shared" si="1"/>
        <v>667.52095923550917</v>
      </c>
      <c r="F16" s="80">
        <f t="shared" si="2"/>
        <v>649.92352629221148</v>
      </c>
      <c r="G16" s="95">
        <f t="shared" si="3"/>
        <v>4.5039700372050253E-4</v>
      </c>
      <c r="H16" s="95">
        <f t="shared" si="4"/>
        <v>1.1875413425944358E-6</v>
      </c>
      <c r="I16" s="95">
        <f t="shared" si="5"/>
        <v>2.6646864577980672E-6</v>
      </c>
      <c r="J16" s="118">
        <f t="shared" si="6"/>
        <v>0.23943182708605071</v>
      </c>
      <c r="K16" s="28">
        <f t="shared" si="163"/>
        <v>8.5125033703174982</v>
      </c>
      <c r="L16" s="29">
        <f t="shared" si="164"/>
        <v>6.0920870875094554E-2</v>
      </c>
      <c r="M16" s="29">
        <f t="shared" si="165"/>
        <v>2.4184694290975259</v>
      </c>
      <c r="N16" s="29">
        <f t="shared" si="166"/>
        <v>16.281364241851449</v>
      </c>
      <c r="O16" s="23">
        <f t="shared" si="162"/>
        <v>10.991893670290118</v>
      </c>
      <c r="P16" s="83">
        <f t="shared" si="167"/>
        <v>27.273257912141567</v>
      </c>
      <c r="Q16" s="84">
        <f>'Health - Mortality'!AB14-'Health - Mortality'!M14</f>
        <v>145.91619647742311</v>
      </c>
      <c r="R16" s="80">
        <f t="shared" si="8"/>
        <v>24.268346118923301</v>
      </c>
      <c r="S16" s="80">
        <f t="shared" si="9"/>
        <v>121.64785035849981</v>
      </c>
      <c r="T16" s="80">
        <f t="shared" si="10"/>
        <v>118.44092500317961</v>
      </c>
      <c r="U16" s="23">
        <f t="shared" si="11"/>
        <v>8.2079561027203465E-5</v>
      </c>
      <c r="V16" s="23">
        <f t="shared" si="12"/>
        <v>2.1641545413631283E-7</v>
      </c>
      <c r="W16" s="23">
        <f t="shared" si="13"/>
        <v>4.8560779251303648E-7</v>
      </c>
      <c r="X16" s="26">
        <f t="shared" si="14"/>
        <v>4.3633636771171366E-2</v>
      </c>
      <c r="Y16" s="28">
        <f t="shared" si="15"/>
        <v>1.5513037034141455</v>
      </c>
      <c r="Z16" s="29">
        <f t="shared" si="16"/>
        <v>1.1102112797192847E-2</v>
      </c>
      <c r="AA16" s="29">
        <f t="shared" si="17"/>
        <v>0.44073763248483189</v>
      </c>
      <c r="AB16" s="29">
        <f t="shared" si="18"/>
        <v>2.967087300439653</v>
      </c>
      <c r="AC16" s="23">
        <f t="shared" si="168"/>
        <v>2.0031434486961701</v>
      </c>
      <c r="AD16" s="83">
        <f t="shared" si="169"/>
        <v>4.9702307491358226</v>
      </c>
      <c r="AE16" s="84">
        <f>'Health - Mortality'!AC14-'Health - Mortality'!N14</f>
        <v>110.88683424858004</v>
      </c>
      <c r="AF16" s="80">
        <f t="shared" si="19"/>
        <v>18.44236718432138</v>
      </c>
      <c r="AG16" s="80">
        <f t="shared" si="20"/>
        <v>92.44446706425866</v>
      </c>
      <c r="AH16" s="80">
        <f t="shared" si="21"/>
        <v>90.007412036046077</v>
      </c>
      <c r="AI16" s="23">
        <f t="shared" si="22"/>
        <v>6.2375136540979923E-5</v>
      </c>
      <c r="AJ16" s="23">
        <f t="shared" si="23"/>
        <v>1.6446169219712034E-7</v>
      </c>
      <c r="AK16" s="23">
        <f t="shared" si="24"/>
        <v>3.6903038934778892E-7</v>
      </c>
      <c r="AL16" s="26">
        <f t="shared" si="25"/>
        <v>3.3158730594079373E-2</v>
      </c>
      <c r="AM16" s="28">
        <f t="shared" si="26"/>
        <v>1.1788900806245206</v>
      </c>
      <c r="AN16" s="29">
        <f t="shared" si="27"/>
        <v>8.4368848097122733E-3</v>
      </c>
      <c r="AO16" s="29">
        <f t="shared" si="28"/>
        <v>0.33493198137205321</v>
      </c>
      <c r="AP16" s="29">
        <f t="shared" si="29"/>
        <v>2.2547936803973974</v>
      </c>
      <c r="AQ16" s="23">
        <f t="shared" si="170"/>
        <v>1.5222589468062862</v>
      </c>
      <c r="AR16" s="83">
        <f t="shared" si="171"/>
        <v>3.7770526272036835</v>
      </c>
      <c r="AS16" s="84">
        <f>'Health - Mortality'!AD14-'Health - Mortality'!O14</f>
        <v>40.840672529622594</v>
      </c>
      <c r="AT16" s="80">
        <f t="shared" si="30"/>
        <v>6.7924987123128409</v>
      </c>
      <c r="AU16" s="80">
        <f t="shared" si="31"/>
        <v>34.048173817309753</v>
      </c>
      <c r="AV16" s="80">
        <f t="shared" si="32"/>
        <v>33.150583341232341</v>
      </c>
      <c r="AW16" s="23">
        <f t="shared" si="33"/>
        <v>2.2973354255474011E-5</v>
      </c>
      <c r="AX16" s="23">
        <f t="shared" si="34"/>
        <v>6.0572800731536721E-8</v>
      </c>
      <c r="AY16" s="23">
        <f t="shared" si="35"/>
        <v>1.3591739169905261E-7</v>
      </c>
      <c r="AZ16" s="26">
        <f t="shared" si="36"/>
        <v>1.2212674902909993E-2</v>
      </c>
      <c r="BA16" s="28">
        <f t="shared" si="37"/>
        <v>0.43419639542845878</v>
      </c>
      <c r="BB16" s="29">
        <f t="shared" si="38"/>
        <v>3.1073846775278337E-3</v>
      </c>
      <c r="BC16" s="29">
        <f t="shared" si="39"/>
        <v>0.12335862470606015</v>
      </c>
      <c r="BD16" s="29">
        <f t="shared" si="40"/>
        <v>0.83046189339787957</v>
      </c>
      <c r="BE16" s="23">
        <f t="shared" si="172"/>
        <v>0.56066240481204677</v>
      </c>
      <c r="BF16" s="83">
        <f t="shared" si="173"/>
        <v>1.3911242982099263</v>
      </c>
      <c r="BG16" s="84">
        <f>'Health - Mortality'!AE14-'Health - Mortality'!P14</f>
        <v>34.743800634318433</v>
      </c>
      <c r="BH16" s="80">
        <f t="shared" si="41"/>
        <v>5.7784851828355244</v>
      </c>
      <c r="BI16" s="80">
        <f t="shared" si="42"/>
        <v>28.965315451482908</v>
      </c>
      <c r="BJ16" s="80">
        <f t="shared" si="43"/>
        <v>28.20172115637239</v>
      </c>
      <c r="BK16" s="23">
        <f t="shared" si="44"/>
        <v>1.9543792761366063E-5</v>
      </c>
      <c r="BL16" s="23">
        <f t="shared" si="45"/>
        <v>5.1530231559050609E-8</v>
      </c>
      <c r="BM16" s="23">
        <f t="shared" si="46"/>
        <v>1.156270567411268E-7</v>
      </c>
      <c r="BN16" s="26">
        <f t="shared" si="47"/>
        <v>1.0389514074007587E-2</v>
      </c>
      <c r="BO16" s="28">
        <f t="shared" si="48"/>
        <v>0.36937768318981862</v>
      </c>
      <c r="BP16" s="29">
        <f t="shared" si="49"/>
        <v>2.643500878979296E-3</v>
      </c>
      <c r="BQ16" s="29">
        <f t="shared" si="50"/>
        <v>0.10494311669824669</v>
      </c>
      <c r="BR16" s="29">
        <f t="shared" si="51"/>
        <v>0.70648695703251596</v>
      </c>
      <c r="BS16" s="23">
        <f t="shared" si="174"/>
        <v>0.4769643007670446</v>
      </c>
      <c r="BT16" s="83">
        <f t="shared" si="175"/>
        <v>1.1834512577995606</v>
      </c>
      <c r="BU16" s="84">
        <f>'Health - Mortality'!AF14-'Health - Mortality'!Q14</f>
        <v>17.946560166705495</v>
      </c>
      <c r="BV16" s="80">
        <f t="shared" si="52"/>
        <v>2.9848183017645935</v>
      </c>
      <c r="BW16" s="80">
        <f t="shared" si="53"/>
        <v>14.961741864940903</v>
      </c>
      <c r="BX16" s="80">
        <f t="shared" si="54"/>
        <v>14.567314925171456</v>
      </c>
      <c r="BY16" s="23">
        <f t="shared" si="55"/>
        <v>1.0095149243143818E-5</v>
      </c>
      <c r="BZ16" s="23">
        <f t="shared" si="56"/>
        <v>2.6617421934124843E-8</v>
      </c>
      <c r="CA16" s="23">
        <f t="shared" si="57"/>
        <v>5.972599119320297E-8</v>
      </c>
      <c r="CB16" s="26">
        <f t="shared" si="58"/>
        <v>5.3665988184331635E-3</v>
      </c>
      <c r="CC16" s="28">
        <f t="shared" si="59"/>
        <v>0.19079832069541816</v>
      </c>
      <c r="CD16" s="29">
        <f t="shared" si="60"/>
        <v>1.3654737452206045E-3</v>
      </c>
      <c r="CE16" s="29">
        <f t="shared" si="61"/>
        <v>5.4207309606951012E-2</v>
      </c>
      <c r="CF16" s="29">
        <f t="shared" si="62"/>
        <v>0.36492871965345514</v>
      </c>
      <c r="CG16" s="23">
        <f t="shared" si="176"/>
        <v>0.24637110404758977</v>
      </c>
      <c r="CH16" s="83">
        <f t="shared" si="177"/>
        <v>0.61129982370104496</v>
      </c>
      <c r="CI16" s="84">
        <f>'Health - Mortality'!AG14-'Health - Mortality'!R14</f>
        <v>791.58620104480815</v>
      </c>
      <c r="CJ16" s="80">
        <f t="shared" si="63"/>
        <v>131.65425342546777</v>
      </c>
      <c r="CK16" s="80">
        <f t="shared" si="64"/>
        <v>659.93194761934035</v>
      </c>
      <c r="CL16" s="80">
        <f t="shared" si="65"/>
        <v>642.53457899038926</v>
      </c>
      <c r="CM16" s="23">
        <f t="shared" si="66"/>
        <v>4.4527646324033973E-4</v>
      </c>
      <c r="CN16" s="23">
        <f t="shared" si="67"/>
        <v>1.1740402458589095E-6</v>
      </c>
      <c r="CO16" s="23">
        <f t="shared" si="68"/>
        <v>2.6343917738605963E-6</v>
      </c>
      <c r="CP16" s="26">
        <f t="shared" si="69"/>
        <v>0.23670973890005939</v>
      </c>
      <c r="CQ16" s="28">
        <f t="shared" si="70"/>
        <v>8.4157251552424217</v>
      </c>
      <c r="CR16" s="29">
        <f t="shared" si="71"/>
        <v>6.022826461256206E-2</v>
      </c>
      <c r="CS16" s="29">
        <f t="shared" si="72"/>
        <v>2.3909739739558771</v>
      </c>
      <c r="CT16" s="29">
        <f t="shared" si="73"/>
        <v>16.096262245204038</v>
      </c>
      <c r="CU16" s="23">
        <f t="shared" si="178"/>
        <v>10.86692739381086</v>
      </c>
      <c r="CV16" s="83">
        <f t="shared" si="179"/>
        <v>26.9631896390149</v>
      </c>
      <c r="CW16" s="84">
        <f>'Health - Mortality'!AH14-'Health - Mortality'!S14</f>
        <v>289.07435598825509</v>
      </c>
      <c r="CX16" s="80">
        <f t="shared" si="74"/>
        <v>48.077983764559505</v>
      </c>
      <c r="CY16" s="80">
        <f t="shared" si="75"/>
        <v>240.9963722236956</v>
      </c>
      <c r="CZ16" s="80">
        <f t="shared" si="76"/>
        <v>234.64313725615017</v>
      </c>
      <c r="DA16" s="23">
        <f t="shared" si="77"/>
        <v>1.6260769411851207E-4</v>
      </c>
      <c r="DB16" s="23">
        <f t="shared" si="78"/>
        <v>4.2874032863130449E-7</v>
      </c>
      <c r="DC16" s="23">
        <f t="shared" si="79"/>
        <v>9.6203686275021576E-7</v>
      </c>
      <c r="DD16" s="26">
        <f t="shared" si="80"/>
        <v>8.6442531765165712E-2</v>
      </c>
      <c r="DE16" s="28">
        <f t="shared" si="81"/>
        <v>3.0732854188398782</v>
      </c>
      <c r="DF16" s="29">
        <f t="shared" si="82"/>
        <v>2.1994378858785919E-2</v>
      </c>
      <c r="DG16" s="29">
        <f t="shared" si="83"/>
        <v>0.87314465663209584</v>
      </c>
      <c r="DH16" s="29">
        <f t="shared" si="84"/>
        <v>5.8780921600312688</v>
      </c>
      <c r="DI16" s="23">
        <f t="shared" si="180"/>
        <v>3.9684244543307599</v>
      </c>
      <c r="DJ16" s="83">
        <f t="shared" si="181"/>
        <v>9.8465166143620291</v>
      </c>
      <c r="DK16" s="84">
        <f>'Health - Mortality'!AI14-'Health - Mortality'!T14</f>
        <v>112.88555324501544</v>
      </c>
      <c r="DL16" s="80">
        <f t="shared" si="85"/>
        <v>18.774788159997417</v>
      </c>
      <c r="DM16" s="80">
        <f t="shared" si="86"/>
        <v>94.110765085018031</v>
      </c>
      <c r="DN16" s="80">
        <f t="shared" si="87"/>
        <v>91.629782495763095</v>
      </c>
      <c r="DO16" s="23">
        <f t="shared" si="88"/>
        <v>6.3499439269563821E-5</v>
      </c>
      <c r="DP16" s="23">
        <f t="shared" si="89"/>
        <v>1.674260901854641E-7</v>
      </c>
      <c r="DQ16" s="23">
        <f t="shared" si="90"/>
        <v>3.7568210823262872E-7</v>
      </c>
      <c r="DR16" s="26">
        <f t="shared" si="91"/>
        <v>3.3756411871439122E-2</v>
      </c>
      <c r="DS16" s="28">
        <f t="shared" si="92"/>
        <v>1.2001394021947562</v>
      </c>
      <c r="DT16" s="29">
        <f t="shared" si="93"/>
        <v>8.5889584265143089E-3</v>
      </c>
      <c r="DU16" s="29">
        <f t="shared" si="94"/>
        <v>0.34096908143193383</v>
      </c>
      <c r="DV16" s="29">
        <f t="shared" si="95"/>
        <v>2.2954360072578601</v>
      </c>
      <c r="DW16" s="23">
        <f t="shared" si="182"/>
        <v>1.5496974420532044</v>
      </c>
      <c r="DX16" s="83">
        <f t="shared" si="183"/>
        <v>3.8451334493110645</v>
      </c>
      <c r="DY16" s="84">
        <f>'Health - Mortality'!AJ14-'Health - Mortality'!U14</f>
        <v>186.55721072725032</v>
      </c>
      <c r="DZ16" s="80">
        <f t="shared" si="96"/>
        <v>31.027638262283851</v>
      </c>
      <c r="EA16" s="80">
        <f t="shared" si="97"/>
        <v>155.52957246496646</v>
      </c>
      <c r="EB16" s="80">
        <f t="shared" si="98"/>
        <v>151.42944469476652</v>
      </c>
      <c r="EC16" s="23">
        <f t="shared" si="99"/>
        <v>1.0494060517347319E-4</v>
      </c>
      <c r="ED16" s="23">
        <f t="shared" si="100"/>
        <v>2.7669213189906944E-7</v>
      </c>
      <c r="EE16" s="23">
        <f t="shared" si="101"/>
        <v>6.2086072324854275E-7</v>
      </c>
      <c r="EF16" s="26">
        <f t="shared" si="102"/>
        <v>5.5786607425551978E-2</v>
      </c>
      <c r="EG16" s="28">
        <f t="shared" si="103"/>
        <v>1.9833774377786433</v>
      </c>
      <c r="EH16" s="29">
        <f t="shared" si="104"/>
        <v>1.4194306366422263E-2</v>
      </c>
      <c r="EI16" s="29">
        <f t="shared" si="105"/>
        <v>0.56349319242037743</v>
      </c>
      <c r="EJ16" s="29">
        <f t="shared" si="106"/>
        <v>3.7934893049375344</v>
      </c>
      <c r="EK16" s="23">
        <f t="shared" si="184"/>
        <v>2.561064936565443</v>
      </c>
      <c r="EL16" s="83">
        <f t="shared" si="185"/>
        <v>6.3545542415029779</v>
      </c>
      <c r="EM16" s="84">
        <f>'Health - Mortality'!AK14-'Health - Mortality'!V14</f>
        <v>26.971430711615483</v>
      </c>
      <c r="EN16" s="80">
        <f t="shared" si="107"/>
        <v>4.4858078241733628</v>
      </c>
      <c r="EO16" s="80">
        <f t="shared" si="108"/>
        <v>22.485622887442119</v>
      </c>
      <c r="EP16" s="80">
        <f t="shared" si="109"/>
        <v>21.892848629981778</v>
      </c>
      <c r="EQ16" s="23">
        <f t="shared" si="110"/>
        <v>1.5171744100577371E-5</v>
      </c>
      <c r="ER16" s="23">
        <f t="shared" si="111"/>
        <v>4.0002649240267812E-8</v>
      </c>
      <c r="ES16" s="23">
        <f t="shared" si="112"/>
        <v>8.9760679382925297E-8</v>
      </c>
      <c r="ET16" s="26">
        <f t="shared" si="113"/>
        <v>8.0653254352852869E-3</v>
      </c>
      <c r="EU16" s="28">
        <f t="shared" si="114"/>
        <v>0.2867459635009123</v>
      </c>
      <c r="EV16" s="29">
        <f t="shared" si="115"/>
        <v>2.0521359060257389E-3</v>
      </c>
      <c r="EW16" s="29">
        <f t="shared" si="116"/>
        <v>8.1466792607942998E-2</v>
      </c>
      <c r="EX16" s="29">
        <f t="shared" si="117"/>
        <v>0.54844212959939953</v>
      </c>
      <c r="EY16" s="23">
        <f t="shared" si="186"/>
        <v>0.37026489201488105</v>
      </c>
      <c r="EZ16" s="83">
        <f t="shared" si="187"/>
        <v>0.91870702161428053</v>
      </c>
      <c r="FA16" s="84">
        <f>'Health - Mortality'!AL14-'Health - Mortality'!W14</f>
        <v>127.9801717864483</v>
      </c>
      <c r="FB16" s="80">
        <f t="shared" si="118"/>
        <v>21.285280046025221</v>
      </c>
      <c r="FC16" s="80">
        <f t="shared" si="119"/>
        <v>106.69489174042307</v>
      </c>
      <c r="FD16" s="80">
        <f t="shared" si="120"/>
        <v>103.8821617776893</v>
      </c>
      <c r="FE16" s="23">
        <f t="shared" si="121"/>
        <v>7.1990338111938682E-5</v>
      </c>
      <c r="FF16" s="23">
        <f t="shared" si="122"/>
        <v>1.898136578819949E-7</v>
      </c>
      <c r="FG16" s="23">
        <f t="shared" si="123"/>
        <v>4.259168632885262E-7</v>
      </c>
      <c r="FH16" s="26">
        <f t="shared" si="124"/>
        <v>3.8270188398900742E-2</v>
      </c>
      <c r="FI16" s="28">
        <f t="shared" si="125"/>
        <v>1.3606173903156411</v>
      </c>
      <c r="FJ16" s="29">
        <f t="shared" si="126"/>
        <v>9.7374406493463388E-3</v>
      </c>
      <c r="FK16" s="29">
        <f t="shared" si="127"/>
        <v>0.38656214512066639</v>
      </c>
      <c r="FL16" s="29">
        <f t="shared" si="128"/>
        <v>2.6023728111252504</v>
      </c>
      <c r="FM16" s="23">
        <f t="shared" si="188"/>
        <v>1.7569169760856538</v>
      </c>
      <c r="FN16" s="83">
        <f t="shared" si="189"/>
        <v>4.359289787210904</v>
      </c>
      <c r="FO16" s="84">
        <f>'Health - Mortality'!AM14-'Health - Mortality'!X14</f>
        <v>76.252082789334111</v>
      </c>
      <c r="FP16" s="80">
        <f t="shared" si="129"/>
        <v>12.682018734682925</v>
      </c>
      <c r="FQ16" s="80">
        <f t="shared" si="130"/>
        <v>63.570064054651183</v>
      </c>
      <c r="FR16" s="80">
        <f t="shared" si="131"/>
        <v>61.89420665433218</v>
      </c>
      <c r="FS16" s="23">
        <f t="shared" si="132"/>
        <v>4.2892685211452196E-5</v>
      </c>
      <c r="FT16" s="23">
        <f t="shared" si="133"/>
        <v>1.1309319680798255E-7</v>
      </c>
      <c r="FU16" s="23">
        <f t="shared" si="134"/>
        <v>2.5376624728276196E-7</v>
      </c>
      <c r="FV16" s="26">
        <f t="shared" si="135"/>
        <v>2.2801825731455973E-2</v>
      </c>
      <c r="FW16" s="28">
        <f t="shared" si="136"/>
        <v>0.81067175049644646</v>
      </c>
      <c r="FX16" s="29">
        <f t="shared" si="137"/>
        <v>5.8016809962495048E-3</v>
      </c>
      <c r="FY16" s="29">
        <f t="shared" si="138"/>
        <v>0.23031824603383474</v>
      </c>
      <c r="FZ16" s="29">
        <f t="shared" si="139"/>
        <v>1.5505241497390061</v>
      </c>
      <c r="GA16" s="23">
        <f t="shared" si="190"/>
        <v>1.0467916775265307</v>
      </c>
      <c r="GB16" s="83">
        <f t="shared" si="191"/>
        <v>2.597315827265537</v>
      </c>
      <c r="GC16" s="84">
        <f>'Health - Mortality'!AN14-'Health - Mortality'!Y14</f>
        <v>233.01247986042245</v>
      </c>
      <c r="GD16" s="80">
        <f t="shared" si="140"/>
        <v>38.753939917535611</v>
      </c>
      <c r="GE16" s="80">
        <f t="shared" si="141"/>
        <v>194.25853994288684</v>
      </c>
      <c r="GF16" s="80">
        <f t="shared" si="142"/>
        <v>189.13742489322172</v>
      </c>
      <c r="GG16" s="23">
        <f t="shared" si="143"/>
        <v>1.3107223545100264E-4</v>
      </c>
      <c r="GH16" s="23">
        <f t="shared" si="144"/>
        <v>3.4559221570872136E-7</v>
      </c>
      <c r="GI16" s="23">
        <f t="shared" si="145"/>
        <v>7.7546344206220904E-7</v>
      </c>
      <c r="GJ16" s="26">
        <f t="shared" si="146"/>
        <v>6.9678227330662881E-2</v>
      </c>
      <c r="GK16" s="28">
        <f t="shared" si="147"/>
        <v>2.47726525002395</v>
      </c>
      <c r="GL16" s="29">
        <f t="shared" si="148"/>
        <v>1.7728880665857406E-2</v>
      </c>
      <c r="GM16" s="29">
        <f t="shared" si="149"/>
        <v>0.70381062001566097</v>
      </c>
      <c r="GN16" s="29">
        <f t="shared" si="150"/>
        <v>4.7381194584850759</v>
      </c>
      <c r="GO16" s="23">
        <f t="shared" si="192"/>
        <v>3.1988047507054684</v>
      </c>
      <c r="GP16" s="83">
        <f>SUM(GK16:GN16)</f>
        <v>7.9369242091905443</v>
      </c>
      <c r="GQ16" s="84">
        <f>'Health - Mortality'!AO14-'Health - Mortality'!Z14</f>
        <v>245.03373314103874</v>
      </c>
      <c r="GR16" s="80">
        <f t="shared" si="151"/>
        <v>40.753278869893634</v>
      </c>
      <c r="GS16" s="80">
        <f t="shared" si="152"/>
        <v>204.28045427114512</v>
      </c>
      <c r="GT16" s="80">
        <f t="shared" si="153"/>
        <v>198.89513783137386</v>
      </c>
      <c r="GU16" s="23">
        <f t="shared" si="154"/>
        <v>1.3783433051714207E-4</v>
      </c>
      <c r="GV16" s="23">
        <f t="shared" si="155"/>
        <v>3.6342152493427224E-7</v>
      </c>
      <c r="GW16" s="23">
        <f t="shared" si="156"/>
        <v>8.1547006510863283E-7</v>
      </c>
      <c r="GX16" s="26">
        <f t="shared" si="157"/>
        <v>7.3272968777078132E-2</v>
      </c>
      <c r="GY16" s="28">
        <f t="shared" si="158"/>
        <v>2.6050688467739849</v>
      </c>
      <c r="GZ16" s="29">
        <f t="shared" si="159"/>
        <v>1.8643524229128166E-2</v>
      </c>
      <c r="HA16" s="29">
        <f t="shared" si="160"/>
        <v>0.74012063109259518</v>
      </c>
      <c r="HB16" s="29">
        <f t="shared" si="161"/>
        <v>4.9825618768413129</v>
      </c>
      <c r="HC16" s="23">
        <f t="shared" si="194"/>
        <v>3.3638330020957081</v>
      </c>
      <c r="HD16" s="83">
        <f t="shared" si="195"/>
        <v>8.346394878937021</v>
      </c>
    </row>
    <row r="17" spans="2:212" x14ac:dyDescent="0.3">
      <c r="B17" s="6">
        <v>2034</v>
      </c>
      <c r="C17" s="84">
        <f>'Health - Mortality'!AA15-'Health - Mortality'!L15</f>
        <v>983.50351915370993</v>
      </c>
      <c r="D17" s="80">
        <f t="shared" si="0"/>
        <v>163.57336874316294</v>
      </c>
      <c r="E17" s="80">
        <f t="shared" si="1"/>
        <v>819.93015041054696</v>
      </c>
      <c r="F17" s="80">
        <f t="shared" si="2"/>
        <v>798.31485033583124</v>
      </c>
      <c r="G17" s="95">
        <f t="shared" si="3"/>
        <v>5.5323219128273105E-4</v>
      </c>
      <c r="H17" s="95">
        <f t="shared" si="4"/>
        <v>1.4586822154129028E-6</v>
      </c>
      <c r="I17" s="95">
        <f t="shared" si="5"/>
        <v>3.2730908863769083E-6</v>
      </c>
      <c r="J17" s="118">
        <f t="shared" si="6"/>
        <v>0.29409919086372022</v>
      </c>
      <c r="K17" s="28">
        <f t="shared" si="163"/>
        <v>10.456088415243617</v>
      </c>
      <c r="L17" s="29">
        <f t="shared" si="164"/>
        <v>7.4830397650681918E-2</v>
      </c>
      <c r="M17" s="29">
        <f t="shared" si="165"/>
        <v>2.9706572884756821</v>
      </c>
      <c r="N17" s="29">
        <f t="shared" si="166"/>
        <v>20.292844169596695</v>
      </c>
      <c r="O17" s="23">
        <f t="shared" si="162"/>
        <v>13.501576101369981</v>
      </c>
      <c r="P17" s="83">
        <f t="shared" si="167"/>
        <v>33.794420270966675</v>
      </c>
      <c r="Q17" s="84">
        <f>'Health - Mortality'!AB15-'Health - Mortality'!M15</f>
        <v>179.23195859211637</v>
      </c>
      <c r="R17" s="80">
        <f t="shared" si="8"/>
        <v>29.809324199037842</v>
      </c>
      <c r="S17" s="80">
        <f t="shared" si="9"/>
        <v>149.42263439307854</v>
      </c>
      <c r="T17" s="80">
        <f t="shared" si="10"/>
        <v>145.48349996956242</v>
      </c>
      <c r="U17" s="23">
        <f t="shared" si="11"/>
        <v>1.0082006547890675E-4</v>
      </c>
      <c r="V17" s="23">
        <f t="shared" si="12"/>
        <v>2.6582769185910924E-7</v>
      </c>
      <c r="W17" s="23">
        <f t="shared" si="13"/>
        <v>5.9648234987520595E-7</v>
      </c>
      <c r="X17" s="26">
        <f t="shared" si="14"/>
        <v>5.3596121388786791E-2</v>
      </c>
      <c r="Y17" s="28">
        <f t="shared" si="15"/>
        <v>1.9054992375513375</v>
      </c>
      <c r="Z17" s="29">
        <f t="shared" si="16"/>
        <v>1.3636960592372304E-2</v>
      </c>
      <c r="AA17" s="29">
        <f t="shared" si="17"/>
        <v>0.54136738074673696</v>
      </c>
      <c r="AB17" s="29">
        <f t="shared" si="18"/>
        <v>3.6981323758262885</v>
      </c>
      <c r="AC17" s="23">
        <f t="shared" si="168"/>
        <v>2.4605035788904468</v>
      </c>
      <c r="AD17" s="83">
        <f t="shared" si="169"/>
        <v>6.1586359547167353</v>
      </c>
      <c r="AE17" s="84">
        <f>'Health - Mortality'!AC15-'Health - Mortality'!N15</f>
        <v>136.20465009535428</v>
      </c>
      <c r="AF17" s="80">
        <f t="shared" si="19"/>
        <v>22.653150721567325</v>
      </c>
      <c r="AG17" s="80">
        <f t="shared" si="20"/>
        <v>113.55149937378695</v>
      </c>
      <c r="AH17" s="80">
        <f t="shared" si="21"/>
        <v>110.55801299977165</v>
      </c>
      <c r="AI17" s="23">
        <f t="shared" si="22"/>
        <v>7.661670300884176E-5</v>
      </c>
      <c r="AJ17" s="23">
        <f t="shared" si="23"/>
        <v>2.0201178428074283E-7</v>
      </c>
      <c r="AK17" s="23">
        <f t="shared" si="24"/>
        <v>4.5328785329906377E-7</v>
      </c>
      <c r="AL17" s="26">
        <f t="shared" si="25"/>
        <v>4.0729571989115872E-2</v>
      </c>
      <c r="AM17" s="28">
        <f t="shared" si="26"/>
        <v>1.4480556868671093</v>
      </c>
      <c r="AN17" s="29">
        <f t="shared" si="27"/>
        <v>1.0363204533602108E-2</v>
      </c>
      <c r="AO17" s="29">
        <f t="shared" si="28"/>
        <v>0.41140405565423027</v>
      </c>
      <c r="AP17" s="29">
        <f t="shared" si="29"/>
        <v>2.8103404672489951</v>
      </c>
      <c r="AQ17" s="23">
        <f t="shared" si="170"/>
        <v>1.8698229470549417</v>
      </c>
      <c r="AR17" s="83">
        <f t="shared" si="171"/>
        <v>4.6801634143039372</v>
      </c>
      <c r="AS17" s="84">
        <f>'Health - Mortality'!AD15-'Health - Mortality'!O15</f>
        <v>50.165464180229463</v>
      </c>
      <c r="AT17" s="80">
        <f t="shared" si="30"/>
        <v>8.3433702175112874</v>
      </c>
      <c r="AU17" s="80">
        <f t="shared" si="31"/>
        <v>41.822093962718178</v>
      </c>
      <c r="AV17" s="80">
        <f t="shared" si="32"/>
        <v>40.719564545664213</v>
      </c>
      <c r="AW17" s="23">
        <f t="shared" si="33"/>
        <v>2.8218658230145299E-5</v>
      </c>
      <c r="AX17" s="23">
        <f t="shared" si="34"/>
        <v>7.4402855711792621E-8</v>
      </c>
      <c r="AY17" s="23">
        <f t="shared" si="35"/>
        <v>1.6695021463722329E-7</v>
      </c>
      <c r="AZ17" s="26">
        <f t="shared" si="36"/>
        <v>1.5001087578622695E-2</v>
      </c>
      <c r="BA17" s="28">
        <f t="shared" si="37"/>
        <v>0.53333264054974616</v>
      </c>
      <c r="BB17" s="29">
        <f t="shared" si="38"/>
        <v>3.8168664980149617E-3</v>
      </c>
      <c r="BC17" s="29">
        <f t="shared" si="39"/>
        <v>0.15152401480474387</v>
      </c>
      <c r="BD17" s="29">
        <f t="shared" si="40"/>
        <v>1.035075042924966</v>
      </c>
      <c r="BE17" s="23">
        <f t="shared" si="172"/>
        <v>0.68867352185250497</v>
      </c>
      <c r="BF17" s="83">
        <f t="shared" si="173"/>
        <v>1.7237485647774711</v>
      </c>
      <c r="BG17" s="84">
        <f>'Health - Mortality'!AE15-'Health - Mortality'!P15</f>
        <v>42.676547134275182</v>
      </c>
      <c r="BH17" s="80">
        <f t="shared" si="41"/>
        <v>7.0978358949712721</v>
      </c>
      <c r="BI17" s="80">
        <f t="shared" si="42"/>
        <v>35.578711239303914</v>
      </c>
      <c r="BJ17" s="80">
        <f t="shared" si="43"/>
        <v>34.640772173001565</v>
      </c>
      <c r="BK17" s="23">
        <f t="shared" si="44"/>
        <v>2.4006055115890083E-5</v>
      </c>
      <c r="BL17" s="23">
        <f t="shared" si="45"/>
        <v>6.3295676230588589E-8</v>
      </c>
      <c r="BM17" s="23">
        <f t="shared" si="46"/>
        <v>1.4202716590930641E-7</v>
      </c>
      <c r="BN17" s="26">
        <f t="shared" si="47"/>
        <v>1.2761660468533775E-2</v>
      </c>
      <c r="BO17" s="28">
        <f t="shared" si="48"/>
        <v>0.45371444169032255</v>
      </c>
      <c r="BP17" s="29">
        <f t="shared" si="49"/>
        <v>3.2470681906291948E-3</v>
      </c>
      <c r="BQ17" s="29">
        <f t="shared" si="50"/>
        <v>0.12890385577928651</v>
      </c>
      <c r="BR17" s="29">
        <f t="shared" si="51"/>
        <v>0.8805545723288305</v>
      </c>
      <c r="BS17" s="23">
        <f t="shared" si="174"/>
        <v>0.58586536566023828</v>
      </c>
      <c r="BT17" s="83">
        <f t="shared" si="175"/>
        <v>1.4664199379890688</v>
      </c>
      <c r="BU17" s="84">
        <f>'Health - Mortality'!AF15-'Health - Mortality'!Q15</f>
        <v>22.044140447202324</v>
      </c>
      <c r="BV17" s="80">
        <f t="shared" si="52"/>
        <v>3.6663156193879867</v>
      </c>
      <c r="BW17" s="80">
        <f t="shared" si="53"/>
        <v>18.377824827814337</v>
      </c>
      <c r="BX17" s="80">
        <f t="shared" si="54"/>
        <v>17.89334185304525</v>
      </c>
      <c r="BY17" s="23">
        <f t="shared" si="55"/>
        <v>1.2400085904160358E-5</v>
      </c>
      <c r="BZ17" s="23">
        <f t="shared" si="56"/>
        <v>3.2694743839927999E-8</v>
      </c>
      <c r="CA17" s="23">
        <f t="shared" si="57"/>
        <v>7.3362701597485534E-8</v>
      </c>
      <c r="CB17" s="26">
        <f t="shared" si="58"/>
        <v>6.5919071386618695E-3</v>
      </c>
      <c r="CC17" s="28">
        <f t="shared" si="59"/>
        <v>0.23436162358863077</v>
      </c>
      <c r="CD17" s="29">
        <f t="shared" si="60"/>
        <v>1.6772403589883063E-3</v>
      </c>
      <c r="CE17" s="29">
        <f t="shared" si="61"/>
        <v>6.658398796987787E-2</v>
      </c>
      <c r="CF17" s="29">
        <f t="shared" si="62"/>
        <v>0.45484159256766898</v>
      </c>
      <c r="CG17" s="23">
        <f t="shared" si="176"/>
        <v>0.30262285191749694</v>
      </c>
      <c r="CH17" s="83">
        <f t="shared" si="177"/>
        <v>0.75746444448516592</v>
      </c>
      <c r="CI17" s="84">
        <f>'Health - Mortality'!AG15-'Health - Mortality'!R15</f>
        <v>972.32211798849767</v>
      </c>
      <c r="CJ17" s="80">
        <f t="shared" si="63"/>
        <v>161.71371148699339</v>
      </c>
      <c r="CK17" s="80">
        <f t="shared" si="64"/>
        <v>810.60840650150431</v>
      </c>
      <c r="CL17" s="80">
        <f t="shared" si="65"/>
        <v>789.23884966688377</v>
      </c>
      <c r="CM17" s="23">
        <f t="shared" si="66"/>
        <v>5.4694252281915041E-4</v>
      </c>
      <c r="CN17" s="23">
        <f t="shared" si="67"/>
        <v>1.4420985319735932E-6</v>
      </c>
      <c r="CO17" s="23">
        <f t="shared" si="68"/>
        <v>3.2358792836342237E-6</v>
      </c>
      <c r="CP17" s="26">
        <f t="shared" si="69"/>
        <v>0.29075559221727992</v>
      </c>
      <c r="CQ17" s="28">
        <f t="shared" si="70"/>
        <v>10.337213681281943</v>
      </c>
      <c r="CR17" s="29">
        <f t="shared" si="71"/>
        <v>7.3979654690245339E-2</v>
      </c>
      <c r="CS17" s="29">
        <f t="shared" si="72"/>
        <v>2.9368840378264216</v>
      </c>
      <c r="CT17" s="29">
        <f t="shared" si="73"/>
        <v>20.062135862992314</v>
      </c>
      <c r="CU17" s="23">
        <f t="shared" si="178"/>
        <v>13.34807737379861</v>
      </c>
      <c r="CV17" s="83">
        <f t="shared" si="179"/>
        <v>33.410213236790923</v>
      </c>
      <c r="CW17" s="84">
        <f>'Health - Mortality'!AH15-'Health - Mortality'!S15</f>
        <v>355.07616188821203</v>
      </c>
      <c r="CX17" s="80">
        <f t="shared" si="74"/>
        <v>59.055207052462158</v>
      </c>
      <c r="CY17" s="80">
        <f t="shared" si="75"/>
        <v>296.02095483574988</v>
      </c>
      <c r="CZ17" s="80">
        <f t="shared" si="76"/>
        <v>288.21714159144511</v>
      </c>
      <c r="DA17" s="23">
        <f t="shared" si="77"/>
        <v>1.9973447912287145E-4</v>
      </c>
      <c r="DB17" s="23">
        <f t="shared" si="78"/>
        <v>5.2663083799546554E-7</v>
      </c>
      <c r="DC17" s="23">
        <f t="shared" si="79"/>
        <v>1.1816902805249249E-6</v>
      </c>
      <c r="DD17" s="26">
        <f t="shared" si="80"/>
        <v>0.10617919496228836</v>
      </c>
      <c r="DE17" s="28">
        <f t="shared" si="81"/>
        <v>3.7749816554222702</v>
      </c>
      <c r="DF17" s="29">
        <f t="shared" si="82"/>
        <v>2.701616198916738E-2</v>
      </c>
      <c r="DG17" s="29">
        <f t="shared" si="83"/>
        <v>1.0725020986044218</v>
      </c>
      <c r="DH17" s="29">
        <f t="shared" si="84"/>
        <v>7.3263644523978968</v>
      </c>
      <c r="DI17" s="23">
        <f t="shared" si="180"/>
        <v>4.8744999160158597</v>
      </c>
      <c r="DJ17" s="83">
        <f t="shared" si="181"/>
        <v>12.200864368413757</v>
      </c>
      <c r="DK17" s="84">
        <f>'Health - Mortality'!AI15-'Health - Mortality'!T15</f>
        <v>138.65971902570288</v>
      </c>
      <c r="DL17" s="80">
        <f t="shared" si="85"/>
        <v>23.061470455673973</v>
      </c>
      <c r="DM17" s="80">
        <f t="shared" si="86"/>
        <v>115.59824857002891</v>
      </c>
      <c r="DN17" s="80">
        <f t="shared" si="87"/>
        <v>112.55080504120924</v>
      </c>
      <c r="DO17" s="23">
        <f t="shared" si="88"/>
        <v>7.7997707893558E-5</v>
      </c>
      <c r="DP17" s="23">
        <f t="shared" si="89"/>
        <v>2.0565301719610015E-7</v>
      </c>
      <c r="DQ17" s="23">
        <f t="shared" si="90"/>
        <v>4.6145830066895791E-7</v>
      </c>
      <c r="DR17" s="26">
        <f t="shared" si="91"/>
        <v>4.1463716577181481E-2</v>
      </c>
      <c r="DS17" s="28">
        <f t="shared" si="92"/>
        <v>1.4741566791882461</v>
      </c>
      <c r="DT17" s="29">
        <f t="shared" si="93"/>
        <v>1.0549999782159938E-2</v>
      </c>
      <c r="DU17" s="29">
        <f t="shared" si="94"/>
        <v>0.41881955368714618</v>
      </c>
      <c r="DV17" s="29">
        <f t="shared" si="95"/>
        <v>2.8609964438255222</v>
      </c>
      <c r="DW17" s="23">
        <f t="shared" si="182"/>
        <v>1.9035262326575522</v>
      </c>
      <c r="DX17" s="83">
        <f t="shared" si="183"/>
        <v>4.7645226764830744</v>
      </c>
      <c r="DY17" s="84">
        <f>'Health - Mortality'!AJ15-'Health - Mortality'!U15</f>
        <v>229.15217827310084</v>
      </c>
      <c r="DZ17" s="80">
        <f t="shared" si="96"/>
        <v>38.111906083690137</v>
      </c>
      <c r="EA17" s="80">
        <f t="shared" si="97"/>
        <v>191.0402721894107</v>
      </c>
      <c r="EB17" s="80">
        <f t="shared" si="98"/>
        <v>186.00399829746777</v>
      </c>
      <c r="EC17" s="23">
        <f t="shared" si="99"/>
        <v>1.2890077082014517E-4</v>
      </c>
      <c r="ED17" s="23">
        <f t="shared" si="100"/>
        <v>3.3986681344844107E-7</v>
      </c>
      <c r="EE17" s="23">
        <f t="shared" si="101"/>
        <v>7.6261639301961789E-7</v>
      </c>
      <c r="EF17" s="26">
        <f t="shared" si="102"/>
        <v>6.8523872972787128E-2</v>
      </c>
      <c r="EG17" s="28">
        <f t="shared" si="103"/>
        <v>2.4362245685007435</v>
      </c>
      <c r="EH17" s="29">
        <f t="shared" si="104"/>
        <v>1.7435167529905028E-2</v>
      </c>
      <c r="EI17" s="29">
        <f t="shared" si="105"/>
        <v>0.69215063830460521</v>
      </c>
      <c r="EJ17" s="29">
        <f t="shared" si="106"/>
        <v>4.7281472351223117</v>
      </c>
      <c r="EK17" s="23">
        <f t="shared" si="184"/>
        <v>3.1458103743352535</v>
      </c>
      <c r="EL17" s="83">
        <f t="shared" si="185"/>
        <v>7.8739576094575652</v>
      </c>
      <c r="EM17" s="84">
        <f>'Health - Mortality'!AK15-'Health - Mortality'!V15</f>
        <v>33.129580328818179</v>
      </c>
      <c r="EN17" s="80">
        <f t="shared" si="107"/>
        <v>5.5100128813927194</v>
      </c>
      <c r="EO17" s="80">
        <f t="shared" si="108"/>
        <v>27.61956744742546</v>
      </c>
      <c r="EP17" s="80">
        <f t="shared" si="109"/>
        <v>26.891450255965889</v>
      </c>
      <c r="EQ17" s="23">
        <f t="shared" si="110"/>
        <v>1.8635775027384359E-5</v>
      </c>
      <c r="ER17" s="23">
        <f t="shared" si="111"/>
        <v>4.9136102401874097E-8</v>
      </c>
      <c r="ES17" s="23">
        <f t="shared" si="112"/>
        <v>1.1025494604946015E-7</v>
      </c>
      <c r="ET17" s="26">
        <f t="shared" si="113"/>
        <v>9.906810274297833E-3</v>
      </c>
      <c r="EU17" s="28">
        <f t="shared" si="114"/>
        <v>0.3522161480175644</v>
      </c>
      <c r="EV17" s="29">
        <f t="shared" si="115"/>
        <v>2.5206820532161413E-3</v>
      </c>
      <c r="EW17" s="29">
        <f t="shared" si="116"/>
        <v>0.10006738903449003</v>
      </c>
      <c r="EX17" s="29">
        <f t="shared" si="117"/>
        <v>0.68356990892655045</v>
      </c>
      <c r="EY17" s="23">
        <f t="shared" si="186"/>
        <v>0.45480421910527058</v>
      </c>
      <c r="EZ17" s="83">
        <f t="shared" si="187"/>
        <v>1.1383741280318209</v>
      </c>
      <c r="FA17" s="84">
        <f>'Health - Mortality'!AL15-'Health - Mortality'!W15</f>
        <v>157.20075909318075</v>
      </c>
      <c r="FB17" s="80">
        <f t="shared" si="118"/>
        <v>26.145160879526255</v>
      </c>
      <c r="FC17" s="80">
        <f t="shared" si="119"/>
        <v>131.05559821365449</v>
      </c>
      <c r="FD17" s="80">
        <f t="shared" si="120"/>
        <v>127.60066235059212</v>
      </c>
      <c r="FE17" s="23">
        <f t="shared" si="121"/>
        <v>8.8427259008960329E-5</v>
      </c>
      <c r="FF17" s="23">
        <f t="shared" si="122"/>
        <v>2.3315214137306317E-7</v>
      </c>
      <c r="FG17" s="23">
        <f t="shared" si="123"/>
        <v>5.2316271563742775E-7</v>
      </c>
      <c r="FH17" s="26">
        <f t="shared" si="124"/>
        <v>4.700808400995813E-2</v>
      </c>
      <c r="FI17" s="28">
        <f t="shared" si="125"/>
        <v>1.6712751952693503</v>
      </c>
      <c r="FJ17" s="29">
        <f t="shared" si="126"/>
        <v>1.196070485243814E-2</v>
      </c>
      <c r="FK17" s="29">
        <f t="shared" si="127"/>
        <v>0.47482248071252942</v>
      </c>
      <c r="FL17" s="29">
        <f t="shared" si="128"/>
        <v>3.243557796687111</v>
      </c>
      <c r="FM17" s="23">
        <f t="shared" si="188"/>
        <v>2.1580583808343179</v>
      </c>
      <c r="FN17" s="83">
        <f t="shared" si="189"/>
        <v>5.4016161775214293</v>
      </c>
      <c r="FO17" s="84">
        <f>'Health - Mortality'!AM15-'Health - Mortality'!X15</f>
        <v>93.662050375436877</v>
      </c>
      <c r="FP17" s="80">
        <f t="shared" si="129"/>
        <v>15.577592560609443</v>
      </c>
      <c r="FQ17" s="80">
        <f t="shared" si="130"/>
        <v>78.084457814827431</v>
      </c>
      <c r="FR17" s="80">
        <f t="shared" si="131"/>
        <v>76.025966629945572</v>
      </c>
      <c r="FS17" s="23">
        <f t="shared" si="132"/>
        <v>5.2685994874552276E-5</v>
      </c>
      <c r="FT17" s="23">
        <f t="shared" si="133"/>
        <v>1.3891477201761248E-7</v>
      </c>
      <c r="FU17" s="23">
        <f t="shared" si="134"/>
        <v>3.1170646318277691E-7</v>
      </c>
      <c r="FV17" s="26">
        <f t="shared" si="135"/>
        <v>2.8007966106471948E-2</v>
      </c>
      <c r="FW17" s="28">
        <f t="shared" si="136"/>
        <v>0.99576530312903799</v>
      </c>
      <c r="FX17" s="29">
        <f t="shared" si="137"/>
        <v>7.1263278045035202E-3</v>
      </c>
      <c r="FY17" s="29">
        <f t="shared" si="138"/>
        <v>0.28290478598468832</v>
      </c>
      <c r="FZ17" s="29">
        <f t="shared" si="139"/>
        <v>1.9325496613465645</v>
      </c>
      <c r="GA17" s="23">
        <f t="shared" si="190"/>
        <v>1.2857964169182299</v>
      </c>
      <c r="GB17" s="83">
        <f t="shared" si="191"/>
        <v>3.2183460782647941</v>
      </c>
      <c r="GC17" s="84">
        <f>'Health - Mortality'!AN15-'Health - Mortality'!Y15</f>
        <v>286.21417053076334</v>
      </c>
      <c r="GD17" s="80">
        <f t="shared" si="140"/>
        <v>47.602286259262613</v>
      </c>
      <c r="GE17" s="80">
        <f t="shared" si="141"/>
        <v>238.61188427150071</v>
      </c>
      <c r="GF17" s="80">
        <f t="shared" si="142"/>
        <v>232.32151005201464</v>
      </c>
      <c r="GG17" s="23">
        <f t="shared" si="143"/>
        <v>1.6099880646604616E-4</v>
      </c>
      <c r="GH17" s="23">
        <f t="shared" si="144"/>
        <v>4.2449824756258003E-7</v>
      </c>
      <c r="GI17" s="23">
        <f t="shared" si="145"/>
        <v>9.5251819121326014E-7</v>
      </c>
      <c r="GJ17" s="26">
        <f t="shared" si="146"/>
        <v>8.5587244303162197E-2</v>
      </c>
      <c r="GK17" s="28">
        <f t="shared" si="147"/>
        <v>3.0428774422082725</v>
      </c>
      <c r="GL17" s="29">
        <f t="shared" si="148"/>
        <v>2.1776760099960355E-2</v>
      </c>
      <c r="GM17" s="29">
        <f t="shared" si="149"/>
        <v>0.86450551034515488</v>
      </c>
      <c r="GN17" s="29">
        <f t="shared" si="150"/>
        <v>5.9055198569181915</v>
      </c>
      <c r="GO17" s="23">
        <f t="shared" si="192"/>
        <v>3.9291597126533877</v>
      </c>
      <c r="GP17" s="83">
        <f t="shared" si="193"/>
        <v>9.8346795695715787</v>
      </c>
      <c r="GQ17" s="84">
        <f>'Health - Mortality'!AO15-'Health - Mortality'!Z15</f>
        <v>300.98013087122604</v>
      </c>
      <c r="GR17" s="80">
        <f t="shared" si="151"/>
        <v>50.058116694618626</v>
      </c>
      <c r="GS17" s="80">
        <f t="shared" si="152"/>
        <v>250.92201417660741</v>
      </c>
      <c r="GT17" s="80">
        <f t="shared" si="153"/>
        <v>244.30711578670955</v>
      </c>
      <c r="GU17" s="23">
        <f t="shared" si="154"/>
        <v>1.6930483124018972E-4</v>
      </c>
      <c r="GV17" s="23">
        <f t="shared" si="155"/>
        <v>4.4639836619221039E-7</v>
      </c>
      <c r="GW17" s="23">
        <f t="shared" si="156"/>
        <v>1.0016591747255093E-6</v>
      </c>
      <c r="GX17" s="26">
        <f t="shared" si="157"/>
        <v>9.0002741455823793E-2</v>
      </c>
      <c r="GY17" s="28">
        <f t="shared" si="158"/>
        <v>3.1998613104395859</v>
      </c>
      <c r="GZ17" s="29">
        <f t="shared" si="159"/>
        <v>2.2900236185660394E-2</v>
      </c>
      <c r="HA17" s="29">
        <f t="shared" si="160"/>
        <v>0.90910586698087226</v>
      </c>
      <c r="HB17" s="29">
        <f t="shared" si="161"/>
        <v>6.2101891604518418</v>
      </c>
      <c r="HC17" s="23">
        <f t="shared" si="194"/>
        <v>4.131867413606118</v>
      </c>
      <c r="HD17" s="83">
        <f t="shared" si="195"/>
        <v>10.34205657405796</v>
      </c>
    </row>
    <row r="18" spans="2:212" x14ac:dyDescent="0.3">
      <c r="B18" s="6">
        <v>2035</v>
      </c>
      <c r="C18" s="84">
        <f>'Health - Mortality'!AA16-'Health - Mortality'!L16</f>
        <v>1174.5974006439001</v>
      </c>
      <c r="D18" s="80">
        <f t="shared" si="0"/>
        <v>195.35553254106586</v>
      </c>
      <c r="E18" s="80">
        <f t="shared" si="1"/>
        <v>979.24186810283425</v>
      </c>
      <c r="F18" s="80">
        <f t="shared" si="2"/>
        <v>953.42673395491977</v>
      </c>
      <c r="G18" s="95">
        <f t="shared" si="3"/>
        <v>6.6072472663075937E-4</v>
      </c>
      <c r="H18" s="95">
        <f t="shared" si="4"/>
        <v>1.7421029058073993E-6</v>
      </c>
      <c r="I18" s="95">
        <f t="shared" si="5"/>
        <v>3.909049609215171E-6</v>
      </c>
      <c r="J18" s="118">
        <f t="shared" si="6"/>
        <v>0.35124240878899243</v>
      </c>
      <c r="K18" s="28">
        <f t="shared" si="163"/>
        <v>12.487697333321352</v>
      </c>
      <c r="L18" s="29">
        <f t="shared" si="164"/>
        <v>8.9369879067919586E-2</v>
      </c>
      <c r="M18" s="29">
        <f t="shared" si="165"/>
        <v>3.5478534253236891</v>
      </c>
      <c r="N18" s="29">
        <f t="shared" si="166"/>
        <v>24.58696861522947</v>
      </c>
      <c r="O18" s="23">
        <f t="shared" si="162"/>
        <v>16.124920637712961</v>
      </c>
      <c r="P18" s="83">
        <f t="shared" si="167"/>
        <v>40.711889252942427</v>
      </c>
      <c r="Q18" s="84">
        <f>'Health - Mortality'!AB16-'Health - Mortality'!M16</f>
        <v>214.05657282829975</v>
      </c>
      <c r="R18" s="80">
        <f t="shared" si="8"/>
        <v>35.60125005884084</v>
      </c>
      <c r="S18" s="80">
        <f t="shared" si="9"/>
        <v>178.45532276945892</v>
      </c>
      <c r="T18" s="80">
        <f t="shared" si="10"/>
        <v>173.75081794101629</v>
      </c>
      <c r="U18" s="23">
        <f t="shared" si="11"/>
        <v>1.2040931683312428E-4</v>
      </c>
      <c r="V18" s="23">
        <f t="shared" si="12"/>
        <v>3.1747778202721227E-7</v>
      </c>
      <c r="W18" s="23">
        <f t="shared" si="13"/>
        <v>7.1237835355816685E-7</v>
      </c>
      <c r="X18" s="26">
        <f t="shared" si="14"/>
        <v>6.40098013294704E-2</v>
      </c>
      <c r="Y18" s="28">
        <f t="shared" si="15"/>
        <v>2.2757360881460489</v>
      </c>
      <c r="Z18" s="29">
        <f t="shared" si="16"/>
        <v>1.6286610217995989E-2</v>
      </c>
      <c r="AA18" s="29">
        <f t="shared" si="17"/>
        <v>0.64655459368939228</v>
      </c>
      <c r="AB18" s="29">
        <f t="shared" si="18"/>
        <v>4.4806860930629284</v>
      </c>
      <c r="AC18" s="23">
        <f t="shared" si="168"/>
        <v>2.9385772920534374</v>
      </c>
      <c r="AD18" s="83">
        <f t="shared" si="169"/>
        <v>7.4192633851163663</v>
      </c>
      <c r="AE18" s="84">
        <f>'Health - Mortality'!AC16-'Health - Mortality'!N16</f>
        <v>162.66909557708584</v>
      </c>
      <c r="AF18" s="80">
        <f t="shared" si="19"/>
        <v>27.054638276072005</v>
      </c>
      <c r="AG18" s="80">
        <f t="shared" si="20"/>
        <v>135.61445730101383</v>
      </c>
      <c r="AH18" s="80">
        <f t="shared" si="21"/>
        <v>132.03933911861333</v>
      </c>
      <c r="AI18" s="23">
        <f t="shared" si="22"/>
        <v>9.150326200919904E-5</v>
      </c>
      <c r="AJ18" s="23">
        <f t="shared" si="23"/>
        <v>2.4126249890775673E-7</v>
      </c>
      <c r="AK18" s="23">
        <f t="shared" si="24"/>
        <v>5.4136129038631467E-7</v>
      </c>
      <c r="AL18" s="26">
        <f t="shared" si="25"/>
        <v>4.864329253129715E-2</v>
      </c>
      <c r="AM18" s="28">
        <f t="shared" si="26"/>
        <v>1.7294116519738618</v>
      </c>
      <c r="AN18" s="29">
        <f t="shared" si="27"/>
        <v>1.2376766193967921E-2</v>
      </c>
      <c r="AO18" s="29">
        <f t="shared" si="28"/>
        <v>0.49133950715461921</v>
      </c>
      <c r="AP18" s="29">
        <f t="shared" si="29"/>
        <v>3.4050304771908007</v>
      </c>
      <c r="AQ18" s="23">
        <f t="shared" si="170"/>
        <v>2.233127925322449</v>
      </c>
      <c r="AR18" s="83">
        <f t="shared" si="171"/>
        <v>5.6381584025132501</v>
      </c>
      <c r="AS18" s="84">
        <f>'Health - Mortality'!AD16-'Health - Mortality'!O16</f>
        <v>59.912570398218463</v>
      </c>
      <c r="AT18" s="80">
        <f t="shared" si="30"/>
        <v>9.9644798206023069</v>
      </c>
      <c r="AU18" s="80">
        <f t="shared" si="31"/>
        <v>49.948090577616156</v>
      </c>
      <c r="AV18" s="80">
        <f t="shared" si="32"/>
        <v>48.631340650255069</v>
      </c>
      <c r="AW18" s="23">
        <f t="shared" si="33"/>
        <v>3.370151907062676E-5</v>
      </c>
      <c r="AX18" s="23">
        <f t="shared" si="34"/>
        <v>8.8859266100802096E-8</v>
      </c>
      <c r="AY18" s="23">
        <f t="shared" si="35"/>
        <v>1.9938849666604579E-7</v>
      </c>
      <c r="AZ18" s="26">
        <f t="shared" si="36"/>
        <v>1.7915785895553968E-2</v>
      </c>
      <c r="BA18" s="28">
        <f t="shared" si="37"/>
        <v>0.63695871043484575</v>
      </c>
      <c r="BB18" s="29">
        <f t="shared" si="38"/>
        <v>4.5584803509711473E-3</v>
      </c>
      <c r="BC18" s="29">
        <f t="shared" si="39"/>
        <v>0.18096499957410317</v>
      </c>
      <c r="BD18" s="29">
        <f t="shared" si="40"/>
        <v>1.2541050126887778</v>
      </c>
      <c r="BE18" s="23">
        <f t="shared" si="172"/>
        <v>0.8224821903599201</v>
      </c>
      <c r="BF18" s="83">
        <f t="shared" si="173"/>
        <v>2.0765872030486978</v>
      </c>
      <c r="BG18" s="84">
        <f>'Health - Mortality'!AE16-'Health - Mortality'!P16</f>
        <v>50.968563259957335</v>
      </c>
      <c r="BH18" s="80">
        <f t="shared" si="41"/>
        <v>8.4769392585439629</v>
      </c>
      <c r="BI18" s="80">
        <f t="shared" si="42"/>
        <v>42.491624001413371</v>
      </c>
      <c r="BJ18" s="80">
        <f t="shared" si="43"/>
        <v>41.371444187324748</v>
      </c>
      <c r="BK18" s="23">
        <f t="shared" si="44"/>
        <v>2.8670410821816048E-5</v>
      </c>
      <c r="BL18" s="23">
        <f t="shared" si="45"/>
        <v>7.5593971271624602E-8</v>
      </c>
      <c r="BM18" s="23">
        <f t="shared" si="46"/>
        <v>1.696229211680315E-7</v>
      </c>
      <c r="BN18" s="26">
        <f t="shared" si="47"/>
        <v>1.5241240038610436E-2</v>
      </c>
      <c r="BO18" s="28">
        <f t="shared" si="48"/>
        <v>0.5418707645323233</v>
      </c>
      <c r="BP18" s="29">
        <f t="shared" si="49"/>
        <v>3.8779707262343423E-3</v>
      </c>
      <c r="BQ18" s="29">
        <f t="shared" si="50"/>
        <v>0.15394976325210538</v>
      </c>
      <c r="BR18" s="29">
        <f t="shared" si="51"/>
        <v>1.0668868027027305</v>
      </c>
      <c r="BS18" s="23">
        <f t="shared" si="174"/>
        <v>0.69969849851066301</v>
      </c>
      <c r="BT18" s="83">
        <f t="shared" si="175"/>
        <v>1.7665853012133934</v>
      </c>
      <c r="BU18" s="84">
        <f>'Health - Mortality'!AF16-'Health - Mortality'!Q16</f>
        <v>26.327297833152073</v>
      </c>
      <c r="BV18" s="80">
        <f t="shared" si="52"/>
        <v>4.3786775670908531</v>
      </c>
      <c r="BW18" s="80">
        <f t="shared" si="53"/>
        <v>21.948620266061219</v>
      </c>
      <c r="BX18" s="80">
        <f t="shared" si="54"/>
        <v>21.370002669136223</v>
      </c>
      <c r="BY18" s="23">
        <f t="shared" si="55"/>
        <v>1.4809411849711402E-5</v>
      </c>
      <c r="BZ18" s="23">
        <f t="shared" si="56"/>
        <v>3.904730423551807E-8</v>
      </c>
      <c r="CA18" s="23">
        <f t="shared" si="57"/>
        <v>8.7617010943458522E-8</v>
      </c>
      <c r="CB18" s="26">
        <f t="shared" si="58"/>
        <v>7.8727089833097851E-3</v>
      </c>
      <c r="CC18" s="28">
        <f t="shared" si="59"/>
        <v>0.27989788395954551</v>
      </c>
      <c r="CD18" s="29">
        <f t="shared" si="60"/>
        <v>2.0031267072820771E-3</v>
      </c>
      <c r="CE18" s="29">
        <f t="shared" si="61"/>
        <v>7.9521199132282949E-2</v>
      </c>
      <c r="CF18" s="29">
        <f t="shared" si="62"/>
        <v>0.551089628831685</v>
      </c>
      <c r="CG18" s="23">
        <f t="shared" si="176"/>
        <v>0.36142220979911055</v>
      </c>
      <c r="CH18" s="83">
        <f t="shared" si="177"/>
        <v>0.91251183863079555</v>
      </c>
      <c r="CI18" s="84">
        <f>'Health - Mortality'!AG16-'Health - Mortality'!R16</f>
        <v>1161.2434629218315</v>
      </c>
      <c r="CJ18" s="80">
        <f t="shared" si="63"/>
        <v>193.13454549155864</v>
      </c>
      <c r="CK18" s="80">
        <f t="shared" si="64"/>
        <v>968.10891743027287</v>
      </c>
      <c r="CL18" s="80">
        <f t="shared" si="65"/>
        <v>942.58727422104869</v>
      </c>
      <c r="CM18" s="23">
        <f t="shared" si="66"/>
        <v>6.532129810351867E-4</v>
      </c>
      <c r="CN18" s="23">
        <f t="shared" si="67"/>
        <v>1.7222970270468694E-6</v>
      </c>
      <c r="CO18" s="23">
        <f t="shared" si="68"/>
        <v>3.8646078243062996E-6</v>
      </c>
      <c r="CP18" s="26">
        <f t="shared" si="69"/>
        <v>0.34724915182303434</v>
      </c>
      <c r="CQ18" s="28">
        <f t="shared" si="70"/>
        <v>12.345725341565029</v>
      </c>
      <c r="CR18" s="29">
        <f t="shared" si="71"/>
        <v>8.8353837487504402E-2</v>
      </c>
      <c r="CS18" s="29">
        <f t="shared" si="72"/>
        <v>3.5075180613403973</v>
      </c>
      <c r="CT18" s="29">
        <f t="shared" si="73"/>
        <v>24.307440627612404</v>
      </c>
      <c r="CU18" s="23">
        <f t="shared" si="178"/>
        <v>15.94159724039293</v>
      </c>
      <c r="CV18" s="83">
        <f t="shared" si="179"/>
        <v>40.249037868005331</v>
      </c>
      <c r="CW18" s="84">
        <f>'Health - Mortality'!AH16-'Health - Mortality'!S16</f>
        <v>424.06715244231191</v>
      </c>
      <c r="CX18" s="80">
        <f t="shared" si="74"/>
        <v>70.529582606880609</v>
      </c>
      <c r="CY18" s="80">
        <f t="shared" si="75"/>
        <v>353.53756983543127</v>
      </c>
      <c r="CZ18" s="80">
        <f t="shared" si="76"/>
        <v>344.21748244036195</v>
      </c>
      <c r="DA18" s="23">
        <f t="shared" si="77"/>
        <v>2.3854271533117082E-4</v>
      </c>
      <c r="DB18" s="23">
        <f t="shared" si="78"/>
        <v>6.2895475345189495E-7</v>
      </c>
      <c r="DC18" s="23">
        <f t="shared" si="79"/>
        <v>1.4112916780054841E-6</v>
      </c>
      <c r="DD18" s="26">
        <f t="shared" si="80"/>
        <v>0.12680972053102935</v>
      </c>
      <c r="DE18" s="28">
        <f t="shared" si="81"/>
        <v>4.5084573197591284</v>
      </c>
      <c r="DF18" s="29">
        <f t="shared" si="82"/>
        <v>3.2265378852082208E-2</v>
      </c>
      <c r="DG18" s="29">
        <f t="shared" si="83"/>
        <v>1.2808883269577773</v>
      </c>
      <c r="DH18" s="29">
        <f t="shared" si="84"/>
        <v>8.8766804371720536</v>
      </c>
      <c r="DI18" s="23">
        <f t="shared" si="180"/>
        <v>5.8216110255689877</v>
      </c>
      <c r="DJ18" s="83">
        <f t="shared" si="181"/>
        <v>14.698291462741041</v>
      </c>
      <c r="DK18" s="84">
        <f>'Health - Mortality'!AI16-'Health - Mortality'!T16</f>
        <v>165.60118227309533</v>
      </c>
      <c r="DL18" s="80">
        <f t="shared" si="85"/>
        <v>27.542294180675153</v>
      </c>
      <c r="DM18" s="80">
        <f t="shared" si="86"/>
        <v>138.05888809242018</v>
      </c>
      <c r="DN18" s="80">
        <f t="shared" si="87"/>
        <v>134.41932892679486</v>
      </c>
      <c r="DO18" s="23">
        <f t="shared" si="88"/>
        <v>9.3152594946268837E-5</v>
      </c>
      <c r="DP18" s="23">
        <f t="shared" si="89"/>
        <v>2.4561122022315995E-7</v>
      </c>
      <c r="DQ18" s="23">
        <f t="shared" si="90"/>
        <v>5.5111924859985894E-7</v>
      </c>
      <c r="DR18" s="26">
        <f t="shared" si="91"/>
        <v>4.9520080776631219E-2</v>
      </c>
      <c r="DS18" s="28">
        <f t="shared" si="92"/>
        <v>1.7605840444844809</v>
      </c>
      <c r="DT18" s="29">
        <f t="shared" si="93"/>
        <v>1.2599855597448105E-2</v>
      </c>
      <c r="DU18" s="29">
        <f t="shared" si="94"/>
        <v>0.50019583002923196</v>
      </c>
      <c r="DV18" s="29">
        <f t="shared" si="95"/>
        <v>3.4664056543641855</v>
      </c>
      <c r="DW18" s="23">
        <f t="shared" si="182"/>
        <v>2.2733797301111611</v>
      </c>
      <c r="DX18" s="83">
        <f t="shared" si="183"/>
        <v>5.739785384475347</v>
      </c>
      <c r="DY18" s="84">
        <f>'Health - Mortality'!AJ16-'Health - Mortality'!U16</f>
        <v>273.67624793359323</v>
      </c>
      <c r="DZ18" s="80">
        <f t="shared" si="96"/>
        <v>45.517016408855895</v>
      </c>
      <c r="EA18" s="80">
        <f t="shared" si="97"/>
        <v>228.15923152473735</v>
      </c>
      <c r="EB18" s="80">
        <f t="shared" si="98"/>
        <v>222.14441397990822</v>
      </c>
      <c r="EC18" s="23">
        <f t="shared" si="99"/>
        <v>1.5394607888807638E-4</v>
      </c>
      <c r="ED18" s="23">
        <f t="shared" si="100"/>
        <v>4.059026407807631E-7</v>
      </c>
      <c r="EE18" s="23">
        <f t="shared" si="101"/>
        <v>9.1079209731762375E-7</v>
      </c>
      <c r="EF18" s="26">
        <f t="shared" si="102"/>
        <v>8.1838002110198177E-2</v>
      </c>
      <c r="EG18" s="28">
        <f t="shared" si="103"/>
        <v>2.9095808909846435</v>
      </c>
      <c r="EH18" s="29">
        <f t="shared" si="104"/>
        <v>2.0822805472053146E-2</v>
      </c>
      <c r="EI18" s="29">
        <f t="shared" si="105"/>
        <v>0.8266349075254753</v>
      </c>
      <c r="EJ18" s="29">
        <f t="shared" si="106"/>
        <v>5.7286601477138728</v>
      </c>
      <c r="EK18" s="23">
        <f t="shared" si="184"/>
        <v>3.7570386039821715</v>
      </c>
      <c r="EL18" s="83">
        <f t="shared" si="185"/>
        <v>9.4856987516960452</v>
      </c>
      <c r="EM18" s="84">
        <f>'Health - Mortality'!AK16-'Health - Mortality'!V16</f>
        <v>39.566629077380441</v>
      </c>
      <c r="EN18" s="80">
        <f t="shared" si="107"/>
        <v>6.5806036093977607</v>
      </c>
      <c r="EO18" s="80">
        <f t="shared" si="108"/>
        <v>32.986025467982678</v>
      </c>
      <c r="EP18" s="80">
        <f t="shared" si="109"/>
        <v>32.116435737192013</v>
      </c>
      <c r="EQ18" s="23">
        <f t="shared" si="110"/>
        <v>2.2256689965874062E-5</v>
      </c>
      <c r="ER18" s="23">
        <f t="shared" si="111"/>
        <v>5.8683204518349769E-8</v>
      </c>
      <c r="ES18" s="23">
        <f t="shared" si="112"/>
        <v>1.3167738652248726E-7</v>
      </c>
      <c r="ET18" s="26">
        <f t="shared" si="113"/>
        <v>1.1831694925581537E-2</v>
      </c>
      <c r="EU18" s="28">
        <f t="shared" si="114"/>
        <v>0.42065144035501978</v>
      </c>
      <c r="EV18" s="29">
        <f t="shared" si="115"/>
        <v>3.0104483917913431E-3</v>
      </c>
      <c r="EW18" s="29">
        <f t="shared" si="116"/>
        <v>0.11951039600780944</v>
      </c>
      <c r="EX18" s="29">
        <f t="shared" si="117"/>
        <v>0.82821864479070761</v>
      </c>
      <c r="EY18" s="23">
        <f t="shared" si="186"/>
        <v>0.54317228475462054</v>
      </c>
      <c r="EZ18" s="83">
        <f t="shared" si="187"/>
        <v>1.3713909295453282</v>
      </c>
      <c r="FA18" s="84">
        <f>'Health - Mortality'!AL16-'Health - Mortality'!W16</f>
        <v>187.74473035844824</v>
      </c>
      <c r="FB18" s="80">
        <f t="shared" si="118"/>
        <v>31.225142981627233</v>
      </c>
      <c r="FC18" s="80">
        <f t="shared" si="119"/>
        <v>156.51958737682099</v>
      </c>
      <c r="FD18" s="80">
        <f t="shared" si="120"/>
        <v>152.39336046953304</v>
      </c>
      <c r="FE18" s="23">
        <f t="shared" si="121"/>
        <v>1.0560859880538639E-4</v>
      </c>
      <c r="FF18" s="23">
        <f t="shared" si="122"/>
        <v>2.7845340039760273E-7</v>
      </c>
      <c r="FG18" s="23">
        <f t="shared" si="123"/>
        <v>6.2481277792508545E-7</v>
      </c>
      <c r="FH18" s="26">
        <f t="shared" si="124"/>
        <v>5.614171399697597E-2</v>
      </c>
      <c r="FI18" s="28">
        <f t="shared" si="125"/>
        <v>1.9960025174218028</v>
      </c>
      <c r="FJ18" s="29">
        <f t="shared" si="126"/>
        <v>1.4284659440397019E-2</v>
      </c>
      <c r="FK18" s="29">
        <f t="shared" si="127"/>
        <v>0.56708007724480758</v>
      </c>
      <c r="FL18" s="29">
        <f t="shared" si="128"/>
        <v>3.929919979788318</v>
      </c>
      <c r="FM18" s="23">
        <f t="shared" si="188"/>
        <v>2.5773672541070076</v>
      </c>
      <c r="FN18" s="83">
        <f t="shared" si="189"/>
        <v>6.507287233895326</v>
      </c>
      <c r="FO18" s="84">
        <f>'Health - Mortality'!AM16-'Health - Mortality'!X16</f>
        <v>111.86050559802038</v>
      </c>
      <c r="FP18" s="80">
        <f t="shared" si="129"/>
        <v>18.604305295954884</v>
      </c>
      <c r="FQ18" s="80">
        <f t="shared" si="130"/>
        <v>93.256200302065494</v>
      </c>
      <c r="FR18" s="80">
        <f t="shared" si="131"/>
        <v>90.797746063801867</v>
      </c>
      <c r="FS18" s="23">
        <f t="shared" si="132"/>
        <v>6.2922838022214697E-5</v>
      </c>
      <c r="FT18" s="23">
        <f t="shared" si="133"/>
        <v>1.6590579184031003E-7</v>
      </c>
      <c r="FU18" s="23">
        <f t="shared" si="134"/>
        <v>3.7227075886158765E-7</v>
      </c>
      <c r="FV18" s="26">
        <f t="shared" si="135"/>
        <v>3.3449889649904599E-2</v>
      </c>
      <c r="FW18" s="28">
        <f t="shared" si="136"/>
        <v>1.1892416386198579</v>
      </c>
      <c r="FX18" s="29">
        <f t="shared" si="137"/>
        <v>8.5109671214079041E-3</v>
      </c>
      <c r="FY18" s="29">
        <f t="shared" si="138"/>
        <v>0.33787294074277696</v>
      </c>
      <c r="FZ18" s="29">
        <f t="shared" si="139"/>
        <v>2.3414922754933221</v>
      </c>
      <c r="GA18" s="23">
        <f t="shared" si="190"/>
        <v>1.5356255464840427</v>
      </c>
      <c r="GB18" s="83">
        <f t="shared" si="191"/>
        <v>3.8771178219773645</v>
      </c>
      <c r="GC18" s="84">
        <f>'Health - Mortality'!AN16-'Health - Mortality'!Y16</f>
        <v>341.82533583831787</v>
      </c>
      <c r="GD18" s="80">
        <f t="shared" si="140"/>
        <v>56.851369228398319</v>
      </c>
      <c r="GE18" s="80">
        <f t="shared" si="141"/>
        <v>284.97396660991956</v>
      </c>
      <c r="GF18" s="80">
        <f t="shared" si="142"/>
        <v>277.46137813068003</v>
      </c>
      <c r="GG18" s="23">
        <f t="shared" si="143"/>
        <v>1.9228073504456126E-4</v>
      </c>
      <c r="GH18" s="23">
        <f t="shared" si="144"/>
        <v>5.0697788920363754E-7</v>
      </c>
      <c r="GI18" s="23">
        <f t="shared" si="145"/>
        <v>1.1375916503357881E-6</v>
      </c>
      <c r="GJ18" s="26">
        <f t="shared" si="146"/>
        <v>0.10221677170334252</v>
      </c>
      <c r="GK18" s="28">
        <f t="shared" si="147"/>
        <v>3.634105892342208</v>
      </c>
      <c r="GL18" s="29">
        <f t="shared" si="148"/>
        <v>2.6007965716146605E-2</v>
      </c>
      <c r="GM18" s="29">
        <f t="shared" si="149"/>
        <v>1.0324781818447613</v>
      </c>
      <c r="GN18" s="29">
        <f t="shared" si="150"/>
        <v>7.1551740192339768</v>
      </c>
      <c r="GO18" s="23">
        <f t="shared" si="192"/>
        <v>4.6925920399031158</v>
      </c>
      <c r="GP18" s="83">
        <f t="shared" si="193"/>
        <v>11.847766059137093</v>
      </c>
      <c r="GQ18" s="84">
        <f>'Health - Mortality'!AO16-'Health - Mortality'!Z16</f>
        <v>359.46030947709323</v>
      </c>
      <c r="GR18" s="80">
        <f t="shared" si="151"/>
        <v>59.784365389178227</v>
      </c>
      <c r="GS18" s="80">
        <f t="shared" si="152"/>
        <v>299.67594408791501</v>
      </c>
      <c r="GT18" s="80">
        <f t="shared" si="153"/>
        <v>291.7757766731778</v>
      </c>
      <c r="GU18" s="23">
        <f t="shared" si="154"/>
        <v>2.022006132345122E-4</v>
      </c>
      <c r="GV18" s="23">
        <f t="shared" si="155"/>
        <v>5.3313318190486942E-7</v>
      </c>
      <c r="GW18" s="23">
        <f t="shared" si="156"/>
        <v>1.1962806843600291E-6</v>
      </c>
      <c r="GX18" s="26">
        <f t="shared" si="157"/>
        <v>0.10749019612639869</v>
      </c>
      <c r="GY18" s="28">
        <f t="shared" si="158"/>
        <v>3.8215915901322806</v>
      </c>
      <c r="GZ18" s="29">
        <f t="shared" si="159"/>
        <v>2.7349732231719801E-2</v>
      </c>
      <c r="HA18" s="29">
        <f t="shared" si="160"/>
        <v>1.0857443491251624</v>
      </c>
      <c r="HB18" s="29">
        <f t="shared" si="161"/>
        <v>7.5243137288479085</v>
      </c>
      <c r="HC18" s="23">
        <f t="shared" si="194"/>
        <v>4.9346856714891629</v>
      </c>
      <c r="HD18" s="83">
        <f t="shared" si="195"/>
        <v>12.458999400337071</v>
      </c>
    </row>
    <row r="19" spans="2:212" x14ac:dyDescent="0.3">
      <c r="B19" s="6">
        <v>2036</v>
      </c>
      <c r="C19" s="84">
        <f>'Health - Mortality'!AA17-'Health - Mortality'!L17</f>
        <v>1374.3043169632392</v>
      </c>
      <c r="D19" s="80">
        <f t="shared" si="0"/>
        <v>228.57019057479863</v>
      </c>
      <c r="E19" s="80">
        <f t="shared" si="1"/>
        <v>1145.7341263884405</v>
      </c>
      <c r="F19" s="80">
        <f t="shared" si="2"/>
        <v>1115.5298621162606</v>
      </c>
      <c r="G19" s="95">
        <f t="shared" si="3"/>
        <v>7.7306219444656847E-4</v>
      </c>
      <c r="H19" s="95">
        <f t="shared" si="4"/>
        <v>2.0382980097971032E-6</v>
      </c>
      <c r="I19" s="95">
        <f t="shared" si="5"/>
        <v>4.5736724346766689E-6</v>
      </c>
      <c r="J19" s="118">
        <f t="shared" si="6"/>
        <v>0.41096120120363039</v>
      </c>
      <c r="K19" s="28">
        <f t="shared" si="163"/>
        <v>14.610875475040144</v>
      </c>
      <c r="L19" s="29">
        <f t="shared" si="164"/>
        <v>0.10456468790259139</v>
      </c>
      <c r="M19" s="29">
        <f t="shared" si="165"/>
        <v>4.1510651017125451</v>
      </c>
      <c r="N19" s="29">
        <f t="shared" si="166"/>
        <v>29.589206486661389</v>
      </c>
      <c r="O19" s="23">
        <f t="shared" si="162"/>
        <v>18.866505264655281</v>
      </c>
      <c r="P19" s="83">
        <f t="shared" si="167"/>
        <v>48.45571175131667</v>
      </c>
      <c r="Q19" s="84">
        <f>'Health - Mortality'!AB17-'Health - Mortality'!M17</f>
        <v>250.45081144486016</v>
      </c>
      <c r="R19" s="80">
        <f t="shared" si="8"/>
        <v>41.654231158975463</v>
      </c>
      <c r="S19" s="80">
        <f t="shared" si="9"/>
        <v>208.79658028588472</v>
      </c>
      <c r="T19" s="80">
        <f t="shared" si="10"/>
        <v>203.29220807174664</v>
      </c>
      <c r="U19" s="23">
        <f t="shared" si="11"/>
        <v>1.4088150019372044E-4</v>
      </c>
      <c r="V19" s="23">
        <f t="shared" si="12"/>
        <v>3.714558589528051E-7</v>
      </c>
      <c r="W19" s="23">
        <f t="shared" si="13"/>
        <v>8.3349805309416124E-7</v>
      </c>
      <c r="X19" s="26">
        <f t="shared" si="14"/>
        <v>7.4892849453631449E-2</v>
      </c>
      <c r="Y19" s="28">
        <f t="shared" si="15"/>
        <v>2.662660353661316</v>
      </c>
      <c r="Z19" s="29">
        <f t="shared" si="16"/>
        <v>1.9055685564278901E-2</v>
      </c>
      <c r="AA19" s="29">
        <f t="shared" si="17"/>
        <v>0.75648283298826069</v>
      </c>
      <c r="AB19" s="29">
        <f t="shared" si="18"/>
        <v>5.3922851606614639</v>
      </c>
      <c r="AC19" s="23">
        <f t="shared" si="168"/>
        <v>3.4381988722138557</v>
      </c>
      <c r="AD19" s="83">
        <f t="shared" si="169"/>
        <v>8.8304840328753187</v>
      </c>
      <c r="AE19" s="84">
        <f>'Health - Mortality'!AC17-'Health - Mortality'!N17</f>
        <v>190.32635366427985</v>
      </c>
      <c r="AF19" s="80">
        <f t="shared" si="19"/>
        <v>31.654510861595885</v>
      </c>
      <c r="AG19" s="80">
        <f t="shared" si="20"/>
        <v>158.67184280268395</v>
      </c>
      <c r="AH19" s="80">
        <f t="shared" si="21"/>
        <v>154.48887734657671</v>
      </c>
      <c r="AI19" s="23">
        <f t="shared" si="22"/>
        <v>1.0706079200117766E-4</v>
      </c>
      <c r="AJ19" s="23">
        <f t="shared" si="23"/>
        <v>2.8228233230254646E-7</v>
      </c>
      <c r="AK19" s="23">
        <f t="shared" si="24"/>
        <v>6.3340439712096468E-7</v>
      </c>
      <c r="AL19" s="26">
        <f t="shared" si="25"/>
        <v>5.6913702414478858E-2</v>
      </c>
      <c r="AM19" s="28">
        <f t="shared" si="26"/>
        <v>2.0234489688222577</v>
      </c>
      <c r="AN19" s="29">
        <f t="shared" si="27"/>
        <v>1.4481083647120634E-2</v>
      </c>
      <c r="AO19" s="29">
        <f t="shared" si="28"/>
        <v>0.57487783082698751</v>
      </c>
      <c r="AP19" s="29">
        <f t="shared" si="29"/>
        <v>4.0977865738424777</v>
      </c>
      <c r="AQ19" s="23">
        <f t="shared" si="170"/>
        <v>2.6128078832963659</v>
      </c>
      <c r="AR19" s="83">
        <f t="shared" si="171"/>
        <v>6.7105944571388436</v>
      </c>
      <c r="AS19" s="84">
        <f>'Health - Mortality'!AD17-'Health - Mortality'!O17</f>
        <v>70.09900080955299</v>
      </c>
      <c r="AT19" s="80">
        <f t="shared" si="30"/>
        <v>11.658656511788482</v>
      </c>
      <c r="AU19" s="80">
        <f t="shared" si="31"/>
        <v>58.440344297764511</v>
      </c>
      <c r="AV19" s="80">
        <f t="shared" si="32"/>
        <v>56.899718455632247</v>
      </c>
      <c r="AW19" s="23">
        <f t="shared" si="33"/>
        <v>3.9431504889753143E-5</v>
      </c>
      <c r="AX19" s="23">
        <f t="shared" si="34"/>
        <v>1.0396725970751595E-7</v>
      </c>
      <c r="AY19" s="23">
        <f t="shared" si="35"/>
        <v>2.3328884566809225E-7</v>
      </c>
      <c r="AZ19" s="26">
        <f t="shared" si="36"/>
        <v>2.0961856279054919E-2</v>
      </c>
      <c r="BA19" s="28">
        <f t="shared" si="37"/>
        <v>0.74525544241633446</v>
      </c>
      <c r="BB19" s="29">
        <f t="shared" si="38"/>
        <v>5.3335204229955678E-3</v>
      </c>
      <c r="BC19" s="29">
        <f t="shared" si="39"/>
        <v>0.21173295632836053</v>
      </c>
      <c r="BD19" s="29">
        <f t="shared" si="40"/>
        <v>1.5092536520919542</v>
      </c>
      <c r="BE19" s="23">
        <f t="shared" si="172"/>
        <v>0.96232191916769061</v>
      </c>
      <c r="BF19" s="83">
        <f t="shared" si="173"/>
        <v>2.4715755712596446</v>
      </c>
      <c r="BG19" s="84">
        <f>'Health - Mortality'!AE17-'Health - Mortality'!P17</f>
        <v>59.634319366937831</v>
      </c>
      <c r="BH19" s="80">
        <f t="shared" si="41"/>
        <v>9.9182019398866412</v>
      </c>
      <c r="BI19" s="80">
        <f t="shared" si="42"/>
        <v>49.716117427051188</v>
      </c>
      <c r="BJ19" s="80">
        <f t="shared" si="43"/>
        <v>48.405482861170867</v>
      </c>
      <c r="BK19" s="23">
        <f t="shared" si="44"/>
        <v>3.3544999622791405E-5</v>
      </c>
      <c r="BL19" s="23">
        <f t="shared" si="45"/>
        <v>8.8446578374886673E-8</v>
      </c>
      <c r="BM19" s="23">
        <f t="shared" si="46"/>
        <v>1.9846247973080058E-7</v>
      </c>
      <c r="BN19" s="26">
        <f t="shared" si="47"/>
        <v>1.7832579886055348E-2</v>
      </c>
      <c r="BO19" s="28">
        <f t="shared" si="48"/>
        <v>0.63400049287075755</v>
      </c>
      <c r="BP19" s="29">
        <f t="shared" si="49"/>
        <v>4.5373094706316862E-3</v>
      </c>
      <c r="BQ19" s="29">
        <f t="shared" si="50"/>
        <v>0.18012454660367461</v>
      </c>
      <c r="BR19" s="29">
        <f t="shared" si="51"/>
        <v>1.2839457517959851</v>
      </c>
      <c r="BS19" s="23">
        <f t="shared" si="174"/>
        <v>0.81866234894506384</v>
      </c>
      <c r="BT19" s="83">
        <f t="shared" si="175"/>
        <v>2.1026081007410489</v>
      </c>
      <c r="BU19" s="84">
        <f>'Health - Mortality'!AF17-'Health - Mortality'!Q17</f>
        <v>30.803506840934148</v>
      </c>
      <c r="BV19" s="80">
        <f t="shared" si="52"/>
        <v>5.1231472841198702</v>
      </c>
      <c r="BW19" s="80">
        <f t="shared" si="53"/>
        <v>25.680359556814278</v>
      </c>
      <c r="BX19" s="80">
        <f t="shared" si="54"/>
        <v>25.003364476722158</v>
      </c>
      <c r="BY19" s="23">
        <f t="shared" si="55"/>
        <v>1.7327331582368454E-5</v>
      </c>
      <c r="BZ19" s="23">
        <f t="shared" si="56"/>
        <v>4.5686188942042737E-8</v>
      </c>
      <c r="CA19" s="23">
        <f t="shared" si="57"/>
        <v>1.0251379435456085E-7</v>
      </c>
      <c r="CB19" s="26">
        <f t="shared" si="58"/>
        <v>9.2112394732244435E-3</v>
      </c>
      <c r="CC19" s="28">
        <f t="shared" si="59"/>
        <v>0.32748656690676375</v>
      </c>
      <c r="CD19" s="29">
        <f t="shared" si="60"/>
        <v>2.3437014927267922E-3</v>
      </c>
      <c r="CE19" s="29">
        <f t="shared" si="61"/>
        <v>9.3041519756199426E-2</v>
      </c>
      <c r="CF19" s="29">
        <f t="shared" si="62"/>
        <v>0.66320924207215992</v>
      </c>
      <c r="CG19" s="23">
        <f t="shared" si="176"/>
        <v>0.42287178815568993</v>
      </c>
      <c r="CH19" s="83">
        <f t="shared" si="177"/>
        <v>1.0860810302278499</v>
      </c>
      <c r="CI19" s="84">
        <f>'Health - Mortality'!AG17-'Health - Mortality'!R17</f>
        <v>1358.679921532228</v>
      </c>
      <c r="CJ19" s="80">
        <f t="shared" si="63"/>
        <v>225.97158777831353</v>
      </c>
      <c r="CK19" s="80">
        <f t="shared" si="64"/>
        <v>1132.7083337539145</v>
      </c>
      <c r="CL19" s="80">
        <f t="shared" si="65"/>
        <v>1102.8474602161348</v>
      </c>
      <c r="CM19" s="23">
        <f t="shared" si="66"/>
        <v>7.6427328992978135E-4</v>
      </c>
      <c r="CN19" s="23">
        <f t="shared" si="67"/>
        <v>2.0151247040610891E-6</v>
      </c>
      <c r="CO19" s="23">
        <f t="shared" si="68"/>
        <v>4.5216745868861534E-6</v>
      </c>
      <c r="CP19" s="26">
        <f t="shared" si="69"/>
        <v>0.40628900434362403</v>
      </c>
      <c r="CQ19" s="28">
        <f t="shared" si="70"/>
        <v>14.444765179672867</v>
      </c>
      <c r="CR19" s="29">
        <f t="shared" si="71"/>
        <v>0.10337589731833387</v>
      </c>
      <c r="CS19" s="29">
        <f t="shared" si="72"/>
        <v>4.1038718550578732</v>
      </c>
      <c r="CT19" s="29">
        <f t="shared" si="73"/>
        <v>29.252808312740932</v>
      </c>
      <c r="CU19" s="23">
        <f t="shared" si="178"/>
        <v>18.652012932049075</v>
      </c>
      <c r="CV19" s="83">
        <f t="shared" si="179"/>
        <v>47.904821244790007</v>
      </c>
      <c r="CW19" s="84">
        <f>'Health - Mortality'!AH17-'Health - Mortality'!S17</f>
        <v>496.16772348065388</v>
      </c>
      <c r="CX19" s="80">
        <f t="shared" si="74"/>
        <v>82.521134302796924</v>
      </c>
      <c r="CY19" s="80">
        <f t="shared" si="75"/>
        <v>413.64658917785698</v>
      </c>
      <c r="CZ19" s="80">
        <f t="shared" si="76"/>
        <v>402.74188571563502</v>
      </c>
      <c r="DA19" s="23">
        <f t="shared" si="77"/>
        <v>2.7910012680093505E-4</v>
      </c>
      <c r="DB19" s="23">
        <f t="shared" si="78"/>
        <v>7.3589063995003665E-7</v>
      </c>
      <c r="DC19" s="23">
        <f t="shared" si="79"/>
        <v>1.6512417314341038E-6</v>
      </c>
      <c r="DD19" s="26">
        <f t="shared" si="80"/>
        <v>0.14837011069763995</v>
      </c>
      <c r="DE19" s="28">
        <f t="shared" si="81"/>
        <v>5.2749923965376722</v>
      </c>
      <c r="DF19" s="29">
        <f t="shared" si="82"/>
        <v>3.7751189829436878E-2</v>
      </c>
      <c r="DG19" s="29">
        <f t="shared" si="83"/>
        <v>1.4986669954495926</v>
      </c>
      <c r="DH19" s="29">
        <f t="shared" si="84"/>
        <v>10.682647970230075</v>
      </c>
      <c r="DI19" s="23">
        <f t="shared" si="180"/>
        <v>6.8114105818167019</v>
      </c>
      <c r="DJ19" s="83">
        <f t="shared" si="181"/>
        <v>17.494058552046777</v>
      </c>
      <c r="DK19" s="84">
        <f>'Health - Mortality'!AI17-'Health - Mortality'!T17</f>
        <v>193.75695839899788</v>
      </c>
      <c r="DL19" s="80">
        <f t="shared" si="85"/>
        <v>32.225078797912921</v>
      </c>
      <c r="DM19" s="80">
        <f t="shared" si="86"/>
        <v>161.53187960108497</v>
      </c>
      <c r="DN19" s="80">
        <f t="shared" si="87"/>
        <v>157.2735168033978</v>
      </c>
      <c r="DO19" s="23">
        <f t="shared" si="88"/>
        <v>1.0899054714475467E-4</v>
      </c>
      <c r="DP19" s="23">
        <f t="shared" si="89"/>
        <v>2.8737043012547087E-7</v>
      </c>
      <c r="DQ19" s="23">
        <f t="shared" si="90"/>
        <v>6.4482141889393108E-7</v>
      </c>
      <c r="DR19" s="26">
        <f t="shared" si="91"/>
        <v>5.7939563590371751E-2</v>
      </c>
      <c r="DS19" s="28">
        <f t="shared" si="92"/>
        <v>2.0599213410358632</v>
      </c>
      <c r="DT19" s="29">
        <f t="shared" si="93"/>
        <v>1.4742103065436656E-2</v>
      </c>
      <c r="DU19" s="29">
        <f t="shared" si="94"/>
        <v>0.58523991978813183</v>
      </c>
      <c r="DV19" s="29">
        <f t="shared" si="95"/>
        <v>4.1716485785067663</v>
      </c>
      <c r="DW19" s="23">
        <f t="shared" si="182"/>
        <v>2.6599033638894318</v>
      </c>
      <c r="DX19" s="83">
        <f t="shared" si="183"/>
        <v>6.8315519423961977</v>
      </c>
      <c r="DY19" s="84">
        <f>'Health - Mortality'!AJ17-'Health - Mortality'!U17</f>
        <v>320.20711843841787</v>
      </c>
      <c r="DZ19" s="80">
        <f t="shared" si="96"/>
        <v>53.25589185850896</v>
      </c>
      <c r="EA19" s="80">
        <f t="shared" si="97"/>
        <v>266.95122657990891</v>
      </c>
      <c r="EB19" s="80">
        <f t="shared" si="98"/>
        <v>259.91376019945085</v>
      </c>
      <c r="EC19" s="23">
        <f t="shared" si="99"/>
        <v>1.8012023581821942E-4</v>
      </c>
      <c r="ED19" s="23">
        <f t="shared" si="100"/>
        <v>4.7491485268568125E-7</v>
      </c>
      <c r="EE19" s="23">
        <f t="shared" si="101"/>
        <v>1.0656464168177487E-6</v>
      </c>
      <c r="EF19" s="26">
        <f t="shared" si="102"/>
        <v>9.5752229257477686E-2</v>
      </c>
      <c r="EG19" s="28">
        <f t="shared" si="103"/>
        <v>3.404272456964347</v>
      </c>
      <c r="EH19" s="29">
        <f t="shared" si="104"/>
        <v>2.4363131942775448E-2</v>
      </c>
      <c r="EI19" s="29">
        <f t="shared" si="105"/>
        <v>0.96718068790378875</v>
      </c>
      <c r="EJ19" s="29">
        <f t="shared" si="106"/>
        <v>6.8941605065383937</v>
      </c>
      <c r="EK19" s="23">
        <f t="shared" si="184"/>
        <v>4.395816276810911</v>
      </c>
      <c r="EL19" s="83">
        <f t="shared" si="185"/>
        <v>11.289976783349305</v>
      </c>
      <c r="EM19" s="84">
        <f>'Health - Mortality'!AK17-'Health - Mortality'!V17</f>
        <v>46.293810218649014</v>
      </c>
      <c r="EN19" s="80">
        <f t="shared" si="107"/>
        <v>7.6994482906752042</v>
      </c>
      <c r="EO19" s="80">
        <f t="shared" si="108"/>
        <v>38.594361927973807</v>
      </c>
      <c r="EP19" s="80">
        <f t="shared" si="109"/>
        <v>37.576923169504404</v>
      </c>
      <c r="EQ19" s="23">
        <f t="shared" si="110"/>
        <v>2.604080775646655E-5</v>
      </c>
      <c r="ER19" s="23">
        <f t="shared" si="111"/>
        <v>6.8660616189508116E-8</v>
      </c>
      <c r="ES19" s="23">
        <f t="shared" si="112"/>
        <v>1.5406538499496809E-7</v>
      </c>
      <c r="ET19" s="26">
        <f t="shared" si="113"/>
        <v>1.3843338495645421E-2</v>
      </c>
      <c r="EU19" s="28">
        <f t="shared" si="114"/>
        <v>0.49217126659721783</v>
      </c>
      <c r="EV19" s="29">
        <f t="shared" si="115"/>
        <v>3.5222896105217665E-3</v>
      </c>
      <c r="EW19" s="29">
        <f t="shared" si="116"/>
        <v>0.13982974342143303</v>
      </c>
      <c r="EX19" s="29">
        <f t="shared" si="117"/>
        <v>0.99672037168647032</v>
      </c>
      <c r="EY19" s="23">
        <f t="shared" si="186"/>
        <v>0.63552329962917264</v>
      </c>
      <c r="EZ19" s="83">
        <f t="shared" si="187"/>
        <v>1.632243671315643</v>
      </c>
      <c r="FA19" s="84">
        <f>'Health - Mortality'!AL17-'Health - Mortality'!W17</f>
        <v>219.66538771265141</v>
      </c>
      <c r="FB19" s="80">
        <f t="shared" si="118"/>
        <v>36.534091403505926</v>
      </c>
      <c r="FC19" s="80">
        <f t="shared" si="119"/>
        <v>183.13129630914548</v>
      </c>
      <c r="FD19" s="80">
        <f t="shared" si="120"/>
        <v>178.30352174711501</v>
      </c>
      <c r="FE19" s="23">
        <f t="shared" si="121"/>
        <v>1.2356434057075069E-4</v>
      </c>
      <c r="FF19" s="23">
        <f t="shared" si="122"/>
        <v>3.2579648995454836E-7</v>
      </c>
      <c r="FG19" s="23">
        <f t="shared" si="123"/>
        <v>7.310444391631716E-7</v>
      </c>
      <c r="FH19" s="26">
        <f t="shared" si="124"/>
        <v>6.5687017411637169E-2</v>
      </c>
      <c r="FI19" s="28">
        <f t="shared" si="125"/>
        <v>2.335366036787188</v>
      </c>
      <c r="FJ19" s="29">
        <f t="shared" si="126"/>
        <v>1.6713359934668329E-2</v>
      </c>
      <c r="FK19" s="29">
        <f t="shared" si="127"/>
        <v>0.6634959329844945</v>
      </c>
      <c r="FL19" s="29">
        <f t="shared" si="128"/>
        <v>4.7294652536378763</v>
      </c>
      <c r="FM19" s="23">
        <f t="shared" si="188"/>
        <v>3.0155753297063512</v>
      </c>
      <c r="FN19" s="83">
        <f t="shared" si="189"/>
        <v>7.7450405833442275</v>
      </c>
      <c r="FO19" s="84">
        <f>'Health - Mortality'!AM17-'Health - Mortality'!X17</f>
        <v>130.87920648962523</v>
      </c>
      <c r="FP19" s="80">
        <f t="shared" si="129"/>
        <v>21.767438841867694</v>
      </c>
      <c r="FQ19" s="80">
        <f t="shared" si="130"/>
        <v>109.11176764775755</v>
      </c>
      <c r="FR19" s="80">
        <f t="shared" si="131"/>
        <v>106.23532311378349</v>
      </c>
      <c r="FS19" s="23">
        <f t="shared" si="132"/>
        <v>7.3621078917851954E-5</v>
      </c>
      <c r="FT19" s="23">
        <f t="shared" si="133"/>
        <v>1.9411335816881013E-7</v>
      </c>
      <c r="FU19" s="23">
        <f t="shared" si="134"/>
        <v>4.3556482476651235E-7</v>
      </c>
      <c r="FV19" s="26">
        <f t="shared" si="135"/>
        <v>3.9137093035117837E-2</v>
      </c>
      <c r="FW19" s="28">
        <f t="shared" si="136"/>
        <v>1.391438391547402</v>
      </c>
      <c r="FX19" s="29">
        <f t="shared" si="137"/>
        <v>9.9580152740599594E-3</v>
      </c>
      <c r="FY19" s="29">
        <f t="shared" si="138"/>
        <v>0.39531863495808661</v>
      </c>
      <c r="FZ19" s="29">
        <f t="shared" si="139"/>
        <v>2.817870698528484</v>
      </c>
      <c r="GA19" s="23">
        <f t="shared" si="190"/>
        <v>1.7967150417795485</v>
      </c>
      <c r="GB19" s="83">
        <f t="shared" si="191"/>
        <v>4.6145857403080326</v>
      </c>
      <c r="GC19" s="84">
        <f>'Health - Mortality'!AN17-'Health - Mortality'!Y17</f>
        <v>399.94302254754348</v>
      </c>
      <c r="GD19" s="80">
        <f t="shared" si="140"/>
        <v>66.517329353043309</v>
      </c>
      <c r="GE19" s="80">
        <f t="shared" si="141"/>
        <v>333.42569319450018</v>
      </c>
      <c r="GF19" s="80">
        <f t="shared" si="142"/>
        <v>324.6358024856263</v>
      </c>
      <c r="GG19" s="23">
        <f t="shared" si="143"/>
        <v>2.2497261112253901E-4</v>
      </c>
      <c r="GH19" s="23">
        <f t="shared" si="144"/>
        <v>5.9317507543906048E-7</v>
      </c>
      <c r="GI19" s="23">
        <f t="shared" si="145"/>
        <v>1.3310067901910681E-6</v>
      </c>
      <c r="GJ19" s="26">
        <f t="shared" si="146"/>
        <v>0.11959582963570473</v>
      </c>
      <c r="GK19" s="28">
        <f t="shared" si="147"/>
        <v>4.2519823502159868</v>
      </c>
      <c r="GL19" s="29">
        <f t="shared" si="148"/>
        <v>3.0429881370023802E-2</v>
      </c>
      <c r="GM19" s="29">
        <f t="shared" si="149"/>
        <v>1.2080217627774135</v>
      </c>
      <c r="GN19" s="29">
        <f t="shared" si="150"/>
        <v>8.61089973377074</v>
      </c>
      <c r="GO19" s="23">
        <f t="shared" si="192"/>
        <v>5.4904339943634239</v>
      </c>
      <c r="GP19" s="83">
        <f t="shared" si="193"/>
        <v>14.101333728134165</v>
      </c>
      <c r="GQ19" s="84">
        <f>'Health - Mortality'!AO17-'Health - Mortality'!Z17</f>
        <v>420.57632242375325</v>
      </c>
      <c r="GR19" s="80">
        <f t="shared" si="151"/>
        <v>69.948998181176947</v>
      </c>
      <c r="GS19" s="80">
        <f t="shared" si="152"/>
        <v>350.62732424257632</v>
      </c>
      <c r="GT19" s="80">
        <f t="shared" si="153"/>
        <v>341.38395781178576</v>
      </c>
      <c r="GU19" s="23">
        <f t="shared" si="154"/>
        <v>2.3657908276356754E-4</v>
      </c>
      <c r="GV19" s="23">
        <f t="shared" si="155"/>
        <v>6.2377733256225497E-7</v>
      </c>
      <c r="GW19" s="23">
        <f t="shared" si="156"/>
        <v>1.3996742270283217E-6</v>
      </c>
      <c r="GX19" s="26">
        <f t="shared" si="157"/>
        <v>0.12576585005786187</v>
      </c>
      <c r="GY19" s="28">
        <f t="shared" si="158"/>
        <v>4.4713446642314265</v>
      </c>
      <c r="GZ19" s="29">
        <f t="shared" si="159"/>
        <v>3.1999777160443679E-2</v>
      </c>
      <c r="HA19" s="29">
        <f t="shared" si="160"/>
        <v>1.2703443284509048</v>
      </c>
      <c r="HB19" s="29">
        <f t="shared" si="161"/>
        <v>9.0551412041660537</v>
      </c>
      <c r="HC19" s="23">
        <f t="shared" si="194"/>
        <v>5.7736887698427743</v>
      </c>
      <c r="HD19" s="83">
        <f t="shared" si="195"/>
        <v>14.828829974008828</v>
      </c>
    </row>
    <row r="20" spans="2:212" x14ac:dyDescent="0.3">
      <c r="B20" s="6">
        <v>2037</v>
      </c>
      <c r="C20" s="84">
        <f>'Health - Mortality'!AA18-'Health - Mortality'!L18</f>
        <v>1582.9709171054519</v>
      </c>
      <c r="D20" s="80">
        <f t="shared" si="0"/>
        <v>263.27499646996677</v>
      </c>
      <c r="E20" s="80">
        <f t="shared" si="1"/>
        <v>1319.6959206354852</v>
      </c>
      <c r="F20" s="80">
        <f t="shared" si="2"/>
        <v>1284.9056115858289</v>
      </c>
      <c r="G20" s="95">
        <f t="shared" si="3"/>
        <v>8.9043958882897942E-4</v>
      </c>
      <c r="H20" s="95">
        <f t="shared" si="4"/>
        <v>2.3477816594743658E-6</v>
      </c>
      <c r="I20" s="95">
        <f t="shared" si="5"/>
        <v>5.2681130075018991E-6</v>
      </c>
      <c r="J20" s="118">
        <f t="shared" si="6"/>
        <v>0.47335922730821928</v>
      </c>
      <c r="K20" s="28">
        <f t="shared" si="163"/>
        <v>16.82930822886771</v>
      </c>
      <c r="L20" s="29">
        <f t="shared" si="164"/>
        <v>0.12044119913103497</v>
      </c>
      <c r="M20" s="29">
        <f t="shared" si="165"/>
        <v>4.7813393656087237</v>
      </c>
      <c r="N20" s="29">
        <f t="shared" si="166"/>
        <v>34.55522359350001</v>
      </c>
      <c r="O20" s="23">
        <f t="shared" si="162"/>
        <v>21.731088793607469</v>
      </c>
      <c r="P20" s="83">
        <f t="shared" si="167"/>
        <v>56.286312387107479</v>
      </c>
      <c r="Q20" s="84">
        <f>'Health - Mortality'!AB18-'Health - Mortality'!M18</f>
        <v>288.47784714721195</v>
      </c>
      <c r="R20" s="80">
        <f t="shared" si="8"/>
        <v>47.978774195184023</v>
      </c>
      <c r="S20" s="80">
        <f t="shared" si="9"/>
        <v>240.49907295202792</v>
      </c>
      <c r="T20" s="80">
        <f t="shared" si="10"/>
        <v>234.15894797071564</v>
      </c>
      <c r="U20" s="23">
        <f t="shared" si="11"/>
        <v>1.6227215094370592E-4</v>
      </c>
      <c r="V20" s="23">
        <f t="shared" si="12"/>
        <v>4.2785561716782656E-7</v>
      </c>
      <c r="W20" s="23">
        <f t="shared" si="13"/>
        <v>9.6005168667993431E-7</v>
      </c>
      <c r="X20" s="26">
        <f t="shared" si="14"/>
        <v>8.6264156432411629E-2</v>
      </c>
      <c r="Y20" s="28">
        <f t="shared" si="15"/>
        <v>3.0669436528360419</v>
      </c>
      <c r="Z20" s="29">
        <f t="shared" si="16"/>
        <v>2.1948993160709501E-2</v>
      </c>
      <c r="AA20" s="29">
        <f t="shared" si="17"/>
        <v>0.87134291083070836</v>
      </c>
      <c r="AB20" s="29">
        <f t="shared" si="18"/>
        <v>6.2972834195660488</v>
      </c>
      <c r="AC20" s="23">
        <f t="shared" si="168"/>
        <v>3.9602355568274596</v>
      </c>
      <c r="AD20" s="83">
        <f t="shared" si="169"/>
        <v>10.257518976393509</v>
      </c>
      <c r="AE20" s="84">
        <f>'Health - Mortality'!AC18-'Health - Mortality'!N18</f>
        <v>219.22443151092887</v>
      </c>
      <c r="AF20" s="80">
        <f t="shared" si="19"/>
        <v>36.46075288465039</v>
      </c>
      <c r="AG20" s="80">
        <f t="shared" si="20"/>
        <v>182.76367862627848</v>
      </c>
      <c r="AH20" s="80">
        <f t="shared" si="21"/>
        <v>177.94559533675942</v>
      </c>
      <c r="AI20" s="23">
        <f t="shared" si="22"/>
        <v>1.2331629756837426E-4</v>
      </c>
      <c r="AJ20" s="23">
        <f t="shared" si="23"/>
        <v>3.2514248622532721E-7</v>
      </c>
      <c r="AK20" s="23">
        <f t="shared" si="24"/>
        <v>7.2957694088071369E-7</v>
      </c>
      <c r="AL20" s="26">
        <f t="shared" si="25"/>
        <v>6.5555157322062171E-2</v>
      </c>
      <c r="AM20" s="28">
        <f t="shared" si="26"/>
        <v>2.3306780240422738</v>
      </c>
      <c r="AN20" s="29">
        <f t="shared" si="27"/>
        <v>1.6679809543359285E-2</v>
      </c>
      <c r="AO20" s="29">
        <f t="shared" si="28"/>
        <v>0.6621640315433357</v>
      </c>
      <c r="AP20" s="29">
        <f t="shared" si="29"/>
        <v>4.7855264845105383</v>
      </c>
      <c r="AQ20" s="23">
        <f t="shared" si="170"/>
        <v>3.0095218651289688</v>
      </c>
      <c r="AR20" s="83">
        <f t="shared" si="171"/>
        <v>7.7950483496395071</v>
      </c>
      <c r="AS20" s="84">
        <f>'Health - Mortality'!AD18-'Health - Mortality'!O18</f>
        <v>80.742436904272665</v>
      </c>
      <c r="AT20" s="80">
        <f t="shared" si="30"/>
        <v>13.428841023699492</v>
      </c>
      <c r="AU20" s="80">
        <f t="shared" si="31"/>
        <v>67.313595880573175</v>
      </c>
      <c r="AV20" s="80">
        <f t="shared" si="32"/>
        <v>65.539050117939368</v>
      </c>
      <c r="AW20" s="23">
        <f t="shared" si="33"/>
        <v>4.5418561731731976E-5</v>
      </c>
      <c r="AX20" s="23">
        <f t="shared" si="34"/>
        <v>1.1975306081538664E-7</v>
      </c>
      <c r="AY20" s="23">
        <f t="shared" si="35"/>
        <v>2.6871010548355145E-7</v>
      </c>
      <c r="AZ20" s="26">
        <f t="shared" si="36"/>
        <v>2.414458606344886E-2</v>
      </c>
      <c r="BA20" s="28">
        <f t="shared" si="37"/>
        <v>0.85841081672973429</v>
      </c>
      <c r="BB20" s="29">
        <f t="shared" si="38"/>
        <v>6.1433320198293348E-3</v>
      </c>
      <c r="BC20" s="29">
        <f t="shared" si="39"/>
        <v>0.24388129173687131</v>
      </c>
      <c r="BD20" s="29">
        <f t="shared" si="40"/>
        <v>1.7625547826317667</v>
      </c>
      <c r="BE20" s="23">
        <f t="shared" si="172"/>
        <v>1.1084354404864349</v>
      </c>
      <c r="BF20" s="83">
        <f t="shared" si="173"/>
        <v>2.8709902231182016</v>
      </c>
      <c r="BG20" s="84">
        <f>'Health - Mortality'!AE18-'Health - Mortality'!P18</f>
        <v>68.688857376095967</v>
      </c>
      <c r="BH20" s="80">
        <f t="shared" si="41"/>
        <v>11.424125666367516</v>
      </c>
      <c r="BI20" s="80">
        <f t="shared" si="42"/>
        <v>57.264731709728451</v>
      </c>
      <c r="BJ20" s="80">
        <f t="shared" si="43"/>
        <v>55.755097798859225</v>
      </c>
      <c r="BK20" s="23">
        <f t="shared" si="44"/>
        <v>3.8638282774609445E-5</v>
      </c>
      <c r="BL20" s="23">
        <f t="shared" si="45"/>
        <v>1.0187580694958883E-7</v>
      </c>
      <c r="BM20" s="23">
        <f t="shared" si="46"/>
        <v>2.2859590097532284E-7</v>
      </c>
      <c r="BN20" s="26">
        <f t="shared" si="47"/>
        <v>2.0540178029099739E-2</v>
      </c>
      <c r="BO20" s="28">
        <f t="shared" si="48"/>
        <v>0.73026354444011854</v>
      </c>
      <c r="BP20" s="29">
        <f t="shared" si="49"/>
        <v>5.2262288965139068E-3</v>
      </c>
      <c r="BQ20" s="29">
        <f t="shared" si="50"/>
        <v>0.207473639725203</v>
      </c>
      <c r="BR20" s="29">
        <f t="shared" si="51"/>
        <v>1.4994329961242809</v>
      </c>
      <c r="BS20" s="23">
        <f t="shared" si="174"/>
        <v>0.9429634130618354</v>
      </c>
      <c r="BT20" s="83">
        <f t="shared" si="175"/>
        <v>2.4423964091861166</v>
      </c>
      <c r="BU20" s="84">
        <f>'Health - Mortality'!AF18-'Health - Mortality'!Q18</f>
        <v>35.480537223228339</v>
      </c>
      <c r="BV20" s="80">
        <f t="shared" si="52"/>
        <v>5.901017012541673</v>
      </c>
      <c r="BW20" s="80">
        <f t="shared" si="53"/>
        <v>29.579520210686667</v>
      </c>
      <c r="BX20" s="80">
        <f t="shared" si="54"/>
        <v>28.799734023899937</v>
      </c>
      <c r="BY20" s="23">
        <f t="shared" si="55"/>
        <v>1.9958215678562657E-5</v>
      </c>
      <c r="BZ20" s="23">
        <f t="shared" si="56"/>
        <v>5.2622921660059681E-8</v>
      </c>
      <c r="CA20" s="23">
        <f t="shared" si="57"/>
        <v>1.1807890949798975E-7</v>
      </c>
      <c r="CB20" s="26">
        <f t="shared" si="58"/>
        <v>1.0609822014404736E-2</v>
      </c>
      <c r="CC20" s="28">
        <f t="shared" si="59"/>
        <v>0.37721027632483423</v>
      </c>
      <c r="CD20" s="29">
        <f t="shared" si="60"/>
        <v>2.6995558811610618E-3</v>
      </c>
      <c r="CE20" s="29">
        <f t="shared" si="61"/>
        <v>0.1071684182603755</v>
      </c>
      <c r="CF20" s="29">
        <f t="shared" si="62"/>
        <v>0.77451700705154569</v>
      </c>
      <c r="CG20" s="23">
        <f t="shared" si="176"/>
        <v>0.48707825046637077</v>
      </c>
      <c r="CH20" s="83">
        <f t="shared" si="177"/>
        <v>1.2615952575179166</v>
      </c>
      <c r="CI20" s="84">
        <f>'Health - Mortality'!AG18-'Health - Mortality'!R18</f>
        <v>1564.9742017787494</v>
      </c>
      <c r="CJ20" s="80">
        <f t="shared" si="63"/>
        <v>260.28183651174567</v>
      </c>
      <c r="CK20" s="80">
        <f t="shared" si="64"/>
        <v>1304.6923652670037</v>
      </c>
      <c r="CL20" s="80">
        <f t="shared" si="65"/>
        <v>1270.29758546007</v>
      </c>
      <c r="CM20" s="23">
        <f t="shared" si="66"/>
        <v>8.8031622672382842E-4</v>
      </c>
      <c r="CN20" s="23">
        <f t="shared" si="67"/>
        <v>2.3210898499671677E-6</v>
      </c>
      <c r="CO20" s="23">
        <f t="shared" si="68"/>
        <v>5.2082201003862877E-6</v>
      </c>
      <c r="CP20" s="26">
        <f t="shared" si="69"/>
        <v>0.46797763048348978</v>
      </c>
      <c r="CQ20" s="28">
        <f t="shared" si="70"/>
        <v>16.637976685080357</v>
      </c>
      <c r="CR20" s="29">
        <f t="shared" si="71"/>
        <v>0.1190719093033157</v>
      </c>
      <c r="CS20" s="29">
        <f t="shared" si="72"/>
        <v>4.7269805631105948</v>
      </c>
      <c r="CT20" s="29">
        <f t="shared" si="73"/>
        <v>34.162367025294756</v>
      </c>
      <c r="CU20" s="23">
        <f t="shared" si="178"/>
        <v>21.484029157494266</v>
      </c>
      <c r="CV20" s="83">
        <f t="shared" si="179"/>
        <v>55.646396182789019</v>
      </c>
      <c r="CW20" s="84">
        <f>'Health - Mortality'!AH18-'Health - Mortality'!S18</f>
        <v>571.50302635431808</v>
      </c>
      <c r="CX20" s="80">
        <f t="shared" si="74"/>
        <v>95.050676939243573</v>
      </c>
      <c r="CY20" s="80">
        <f t="shared" si="75"/>
        <v>476.45234941507448</v>
      </c>
      <c r="CZ20" s="80">
        <f t="shared" si="76"/>
        <v>463.89193741076718</v>
      </c>
      <c r="DA20" s="23">
        <f t="shared" si="77"/>
        <v>3.2147711262566164E-4</v>
      </c>
      <c r="DB20" s="23">
        <f t="shared" si="78"/>
        <v>8.4762411558530185E-7</v>
      </c>
      <c r="DC20" s="23">
        <f t="shared" si="79"/>
        <v>1.9019569433841457E-6</v>
      </c>
      <c r="DD20" s="26">
        <f t="shared" si="80"/>
        <v>0.17089778974212663</v>
      </c>
      <c r="DE20" s="28">
        <f t="shared" si="81"/>
        <v>6.0759174286250053</v>
      </c>
      <c r="DF20" s="29">
        <f t="shared" si="82"/>
        <v>4.3483117129525982E-2</v>
      </c>
      <c r="DG20" s="29">
        <f t="shared" si="83"/>
        <v>1.7262161218154506</v>
      </c>
      <c r="DH20" s="29">
        <f t="shared" si="84"/>
        <v>12.475538651175244</v>
      </c>
      <c r="DI20" s="23">
        <f t="shared" si="180"/>
        <v>7.8456166675699812</v>
      </c>
      <c r="DJ20" s="83">
        <f t="shared" si="181"/>
        <v>20.321155318745227</v>
      </c>
      <c r="DK20" s="84">
        <f>'Health - Mortality'!AI18-'Health - Mortality'!T18</f>
        <v>223.17591987934406</v>
      </c>
      <c r="DL20" s="80">
        <f t="shared" si="85"/>
        <v>37.117952631660216</v>
      </c>
      <c r="DM20" s="80">
        <f t="shared" si="86"/>
        <v>186.05796724768385</v>
      </c>
      <c r="DN20" s="80">
        <f t="shared" si="87"/>
        <v>181.15303871037293</v>
      </c>
      <c r="DO20" s="23">
        <f t="shared" si="88"/>
        <v>1.2553905582628842E-4</v>
      </c>
      <c r="DP20" s="23">
        <f t="shared" si="89"/>
        <v>3.310031320645795E-7</v>
      </c>
      <c r="DQ20" s="23">
        <f t="shared" si="90"/>
        <v>7.4272745871252906E-7</v>
      </c>
      <c r="DR20" s="26">
        <f t="shared" si="91"/>
        <v>6.6736779460901383E-2</v>
      </c>
      <c r="DS20" s="28">
        <f t="shared" si="92"/>
        <v>2.372688155116851</v>
      </c>
      <c r="DT20" s="29">
        <f t="shared" si="93"/>
        <v>1.6980460674912927E-2</v>
      </c>
      <c r="DU20" s="29">
        <f t="shared" si="94"/>
        <v>0.67409944152749135</v>
      </c>
      <c r="DV20" s="29">
        <f t="shared" si="95"/>
        <v>4.8717849006458005</v>
      </c>
      <c r="DW20" s="23">
        <f t="shared" si="182"/>
        <v>3.0637680573192556</v>
      </c>
      <c r="DX20" s="83">
        <f t="shared" si="183"/>
        <v>7.9355529579650561</v>
      </c>
      <c r="DY20" s="84">
        <f>'Health - Mortality'!AJ18-'Health - Mortality'!U18</f>
        <v>368.82555754331861</v>
      </c>
      <c r="DZ20" s="80">
        <f t="shared" si="96"/>
        <v>61.341965484626847</v>
      </c>
      <c r="EA20" s="80">
        <f t="shared" si="97"/>
        <v>307.48359205869178</v>
      </c>
      <c r="EB20" s="80">
        <f t="shared" si="98"/>
        <v>299.37759655764552</v>
      </c>
      <c r="EC20" s="23">
        <f t="shared" si="99"/>
        <v>2.0746867441444832E-4</v>
      </c>
      <c r="ED20" s="23">
        <f t="shared" si="100"/>
        <v>5.4702323977562133E-7</v>
      </c>
      <c r="EE20" s="23">
        <f t="shared" si="101"/>
        <v>1.2274481458863466E-6</v>
      </c>
      <c r="EF20" s="26">
        <f t="shared" si="102"/>
        <v>0.11029070657183661</v>
      </c>
      <c r="EG20" s="28">
        <f t="shared" si="103"/>
        <v>3.9211579464330732</v>
      </c>
      <c r="EH20" s="29">
        <f t="shared" si="104"/>
        <v>2.8062292200489374E-2</v>
      </c>
      <c r="EI20" s="29">
        <f t="shared" si="105"/>
        <v>1.1140319372064482</v>
      </c>
      <c r="EJ20" s="29">
        <f t="shared" si="106"/>
        <v>8.0512215797440732</v>
      </c>
      <c r="EK20" s="23">
        <f t="shared" si="184"/>
        <v>5.0632521758400113</v>
      </c>
      <c r="EL20" s="83">
        <f t="shared" si="185"/>
        <v>13.114473755584084</v>
      </c>
      <c r="EM20" s="84">
        <f>'Health - Mortality'!AK18-'Health - Mortality'!V18</f>
        <v>53.322800717128757</v>
      </c>
      <c r="EN20" s="80">
        <f t="shared" si="107"/>
        <v>8.8684890030962062</v>
      </c>
      <c r="EO20" s="80">
        <f t="shared" si="108"/>
        <v>44.454311714032549</v>
      </c>
      <c r="EP20" s="80">
        <f t="shared" si="109"/>
        <v>43.282390804876286</v>
      </c>
      <c r="EQ20" s="23">
        <f t="shared" si="110"/>
        <v>2.9994696827779263E-5</v>
      </c>
      <c r="ER20" s="23">
        <f t="shared" si="111"/>
        <v>7.908565609303718E-8</v>
      </c>
      <c r="ES20" s="23">
        <f t="shared" si="112"/>
        <v>1.7745780229999278E-7</v>
      </c>
      <c r="ET20" s="26">
        <f t="shared" si="113"/>
        <v>1.5945232772516423E-2</v>
      </c>
      <c r="EU20" s="28">
        <f t="shared" si="114"/>
        <v>0.56689977004502812</v>
      </c>
      <c r="EV20" s="29">
        <f t="shared" si="115"/>
        <v>4.057094157572807E-3</v>
      </c>
      <c r="EW20" s="29">
        <f t="shared" si="116"/>
        <v>0.16106070136747344</v>
      </c>
      <c r="EX20" s="29">
        <f t="shared" si="117"/>
        <v>1.1640019923936988</v>
      </c>
      <c r="EY20" s="23">
        <f t="shared" si="186"/>
        <v>0.73201756557007436</v>
      </c>
      <c r="EZ20" s="83">
        <f t="shared" si="187"/>
        <v>1.8960195579637733</v>
      </c>
      <c r="FA20" s="84">
        <f>'Health - Mortality'!AL18-'Health - Mortality'!W18</f>
        <v>253.01813866973509</v>
      </c>
      <c r="FB20" s="80">
        <f t="shared" si="118"/>
        <v>42.081221357444896</v>
      </c>
      <c r="FC20" s="80">
        <f t="shared" si="119"/>
        <v>210.93691731229021</v>
      </c>
      <c r="FD20" s="80">
        <f t="shared" si="120"/>
        <v>205.37612074656118</v>
      </c>
      <c r="FE20" s="23">
        <f t="shared" si="121"/>
        <v>1.4232565167736689E-4</v>
      </c>
      <c r="FF20" s="23">
        <f t="shared" si="122"/>
        <v>3.7526358764023555E-7</v>
      </c>
      <c r="FG20" s="23">
        <f t="shared" si="123"/>
        <v>8.4204209506090089E-7</v>
      </c>
      <c r="FH20" s="26">
        <f t="shared" si="124"/>
        <v>7.5660562883033147E-2</v>
      </c>
      <c r="FI20" s="28">
        <f t="shared" si="125"/>
        <v>2.689954816702234</v>
      </c>
      <c r="FJ20" s="29">
        <f t="shared" si="126"/>
        <v>1.9251022045944085E-2</v>
      </c>
      <c r="FK20" s="29">
        <f t="shared" si="127"/>
        <v>0.7642374054772737</v>
      </c>
      <c r="FL20" s="29">
        <f t="shared" si="128"/>
        <v>5.5232210904614201</v>
      </c>
      <c r="FM20" s="23">
        <f t="shared" si="188"/>
        <v>3.4734432442254515</v>
      </c>
      <c r="FN20" s="83">
        <f t="shared" si="189"/>
        <v>8.9966643346868711</v>
      </c>
      <c r="FO20" s="84">
        <f>'Health - Mortality'!AM18-'Health - Mortality'!X18</f>
        <v>150.75116549492549</v>
      </c>
      <c r="FP20" s="80">
        <f t="shared" si="129"/>
        <v>25.072483729576913</v>
      </c>
      <c r="FQ20" s="80">
        <f t="shared" si="130"/>
        <v>125.67868176534857</v>
      </c>
      <c r="FR20" s="80">
        <f t="shared" si="131"/>
        <v>122.36549415053469</v>
      </c>
      <c r="FS20" s="23">
        <f t="shared" si="132"/>
        <v>8.4799287446320529E-5</v>
      </c>
      <c r="FT20" s="23">
        <f t="shared" si="133"/>
        <v>2.2358643337589076E-7</v>
      </c>
      <c r="FU20" s="23">
        <f t="shared" si="134"/>
        <v>5.0169852601719217E-7</v>
      </c>
      <c r="FV20" s="26">
        <f t="shared" si="135"/>
        <v>4.5079448045056973E-2</v>
      </c>
      <c r="FW20" s="28">
        <f t="shared" si="136"/>
        <v>1.6027065327354579</v>
      </c>
      <c r="FX20" s="29">
        <f t="shared" si="137"/>
        <v>1.1469984032183196E-2</v>
      </c>
      <c r="FY20" s="29">
        <f t="shared" si="138"/>
        <v>0.45534158221320364</v>
      </c>
      <c r="FZ20" s="29">
        <f t="shared" si="139"/>
        <v>3.290799707289159</v>
      </c>
      <c r="GA20" s="23">
        <f t="shared" si="190"/>
        <v>2.0695180989808448</v>
      </c>
      <c r="GB20" s="83">
        <f t="shared" si="191"/>
        <v>5.3603178062700039</v>
      </c>
      <c r="GC20" s="84">
        <f>'Health - Mortality'!AN18-'Health - Mortality'!Y18</f>
        <v>460.66811067795402</v>
      </c>
      <c r="GD20" s="80">
        <f t="shared" si="140"/>
        <v>76.616944696833755</v>
      </c>
      <c r="GE20" s="80">
        <f t="shared" si="141"/>
        <v>384.05116598112028</v>
      </c>
      <c r="GF20" s="80">
        <f t="shared" si="142"/>
        <v>373.92666794605009</v>
      </c>
      <c r="GG20" s="23">
        <f t="shared" si="143"/>
        <v>2.5913118088661272E-4</v>
      </c>
      <c r="GH20" s="23">
        <f t="shared" si="144"/>
        <v>6.8323942636424233E-7</v>
      </c>
      <c r="GI20" s="23">
        <f t="shared" si="145"/>
        <v>1.5330993385788055E-6</v>
      </c>
      <c r="GJ20" s="26">
        <f t="shared" si="146"/>
        <v>0.13775458447132483</v>
      </c>
      <c r="GK20" s="28">
        <f t="shared" si="147"/>
        <v>4.8975793187569803</v>
      </c>
      <c r="GL20" s="29">
        <f t="shared" si="148"/>
        <v>3.5050182572485634E-2</v>
      </c>
      <c r="GM20" s="29">
        <f t="shared" si="149"/>
        <v>1.391440959694124</v>
      </c>
      <c r="GN20" s="29">
        <f t="shared" si="150"/>
        <v>10.056084666406711</v>
      </c>
      <c r="GO20" s="23">
        <f t="shared" si="192"/>
        <v>6.3240704610235898</v>
      </c>
      <c r="GP20" s="83">
        <f t="shared" si="193"/>
        <v>16.380155127430299</v>
      </c>
      <c r="GQ20" s="84">
        <f>'Health - Mortality'!AO18-'Health - Mortality'!Z18</f>
        <v>484.43425419129721</v>
      </c>
      <c r="GR20" s="80">
        <f t="shared" si="151"/>
        <v>80.569658724594589</v>
      </c>
      <c r="GS20" s="80">
        <f t="shared" si="152"/>
        <v>403.86459546670261</v>
      </c>
      <c r="GT20" s="80">
        <f t="shared" si="153"/>
        <v>393.21776851907123</v>
      </c>
      <c r="GU20" s="23">
        <f t="shared" si="154"/>
        <v>2.7249991358371638E-4</v>
      </c>
      <c r="GV20" s="23">
        <f t="shared" si="155"/>
        <v>7.1848815725001989E-7</v>
      </c>
      <c r="GW20" s="23">
        <f t="shared" si="156"/>
        <v>1.6121928509281922E-6</v>
      </c>
      <c r="GX20" s="26">
        <f t="shared" si="157"/>
        <v>0.14486142592242585</v>
      </c>
      <c r="GY20" s="28">
        <f t="shared" si="158"/>
        <v>5.1502483667322396</v>
      </c>
      <c r="GZ20" s="29">
        <f t="shared" si="159"/>
        <v>3.6858442466926017E-2</v>
      </c>
      <c r="HA20" s="29">
        <f t="shared" si="160"/>
        <v>1.4632262315024271</v>
      </c>
      <c r="HB20" s="29">
        <f t="shared" si="161"/>
        <v>10.574884092337086</v>
      </c>
      <c r="HC20" s="23">
        <f t="shared" si="194"/>
        <v>6.650333040701593</v>
      </c>
      <c r="HD20" s="83">
        <f t="shared" si="195"/>
        <v>17.225217133038679</v>
      </c>
    </row>
    <row r="21" spans="2:212" x14ac:dyDescent="0.3">
      <c r="B21" s="6">
        <v>2038</v>
      </c>
      <c r="C21" s="84">
        <f>'Health - Mortality'!AA19-'Health - Mortality'!L19</f>
        <v>1800.9575405461064</v>
      </c>
      <c r="D21" s="80">
        <f t="shared" si="0"/>
        <v>299.52988081223873</v>
      </c>
      <c r="E21" s="80">
        <f t="shared" si="1"/>
        <v>1501.4276597338678</v>
      </c>
      <c r="F21" s="80">
        <f t="shared" si="2"/>
        <v>1461.8464717639222</v>
      </c>
      <c r="G21" s="95">
        <f t="shared" si="3"/>
        <v>1.013059604932398E-3</v>
      </c>
      <c r="H21" s="95">
        <f t="shared" si="4"/>
        <v>2.6710882919553593E-6</v>
      </c>
      <c r="I21" s="95">
        <f t="shared" si="5"/>
        <v>5.9935705342320817E-6</v>
      </c>
      <c r="J21" s="118">
        <f t="shared" si="6"/>
        <v>0.53854424019782887</v>
      </c>
      <c r="K21" s="28">
        <f t="shared" si="163"/>
        <v>19.14682653322232</v>
      </c>
      <c r="L21" s="29">
        <f t="shared" si="164"/>
        <v>0.13702682937730992</v>
      </c>
      <c r="M21" s="29">
        <f t="shared" si="165"/>
        <v>5.439764616869037</v>
      </c>
      <c r="N21" s="29">
        <f t="shared" si="166"/>
        <v>39.852273774639336</v>
      </c>
      <c r="O21" s="23">
        <f t="shared" si="162"/>
        <v>24.723617979468667</v>
      </c>
      <c r="P21" s="83">
        <f t="shared" si="167"/>
        <v>64.575891754108</v>
      </c>
      <c r="Q21" s="84">
        <f>'Health - Mortality'!AB19-'Health - Mortality'!M19</f>
        <v>328.20334757019975</v>
      </c>
      <c r="R21" s="80">
        <f t="shared" si="8"/>
        <v>54.585800812422285</v>
      </c>
      <c r="S21" s="80">
        <f t="shared" si="9"/>
        <v>273.61754675777746</v>
      </c>
      <c r="T21" s="80">
        <f t="shared" si="10"/>
        <v>266.40434039389936</v>
      </c>
      <c r="U21" s="23">
        <f t="shared" si="11"/>
        <v>1.8461820789297223E-4</v>
      </c>
      <c r="V21" s="23">
        <f t="shared" si="12"/>
        <v>4.8677445155619011E-7</v>
      </c>
      <c r="W21" s="23">
        <f t="shared" si="13"/>
        <v>1.0922577956149874E-6</v>
      </c>
      <c r="X21" s="26">
        <f t="shared" si="14"/>
        <v>9.8143359001112526E-2</v>
      </c>
      <c r="Y21" s="28">
        <f t="shared" si="15"/>
        <v>3.4892841291771752</v>
      </c>
      <c r="Z21" s="29">
        <f t="shared" si="16"/>
        <v>2.4971529364832552E-2</v>
      </c>
      <c r="AA21" s="29">
        <f t="shared" si="17"/>
        <v>0.99133317530016263</v>
      </c>
      <c r="AB21" s="29">
        <f t="shared" si="18"/>
        <v>7.262608566082327</v>
      </c>
      <c r="AC21" s="23">
        <f t="shared" si="168"/>
        <v>4.5055888338421708</v>
      </c>
      <c r="AD21" s="83">
        <f t="shared" si="169"/>
        <v>11.768197399924498</v>
      </c>
      <c r="AE21" s="84">
        <f>'Health - Mortality'!AC19-'Health - Mortality'!N19</f>
        <v>249.4132322553844</v>
      </c>
      <c r="AF21" s="80">
        <f t="shared" si="19"/>
        <v>41.481664086204447</v>
      </c>
      <c r="AG21" s="80">
        <f t="shared" si="20"/>
        <v>207.93156816917997</v>
      </c>
      <c r="AH21" s="80">
        <f t="shared" si="21"/>
        <v>202.44999972248658</v>
      </c>
      <c r="AI21" s="23">
        <f t="shared" si="22"/>
        <v>1.4029784980768318E-4</v>
      </c>
      <c r="AJ21" s="23">
        <f t="shared" si="23"/>
        <v>3.6991697446353232E-7</v>
      </c>
      <c r="AK21" s="23">
        <f t="shared" si="24"/>
        <v>8.3004499886219511E-7</v>
      </c>
      <c r="AL21" s="26">
        <f t="shared" si="25"/>
        <v>7.4582579897764054E-2</v>
      </c>
      <c r="AM21" s="28">
        <f t="shared" si="26"/>
        <v>2.6516293613652122</v>
      </c>
      <c r="AN21" s="29">
        <f t="shared" si="27"/>
        <v>1.8976740789979209E-2</v>
      </c>
      <c r="AO21" s="29">
        <f t="shared" si="28"/>
        <v>0.75334884096732824</v>
      </c>
      <c r="AP21" s="29">
        <f t="shared" si="29"/>
        <v>5.5191109124345399</v>
      </c>
      <c r="AQ21" s="23">
        <f t="shared" si="170"/>
        <v>3.4239549431225194</v>
      </c>
      <c r="AR21" s="83">
        <f t="shared" si="171"/>
        <v>8.9430658555570588</v>
      </c>
      <c r="AS21" s="84">
        <f>'Health - Mortality'!AD19-'Health - Mortality'!O19</f>
        <v>91.861258481434959</v>
      </c>
      <c r="AT21" s="80">
        <f t="shared" si="30"/>
        <v>15.278090229635843</v>
      </c>
      <c r="AU21" s="80">
        <f t="shared" si="31"/>
        <v>76.583168251799108</v>
      </c>
      <c r="AV21" s="80">
        <f t="shared" si="32"/>
        <v>74.564254614331062</v>
      </c>
      <c r="AW21" s="23">
        <f t="shared" si="33"/>
        <v>5.1673028447731426E-5</v>
      </c>
      <c r="AX21" s="23">
        <f t="shared" si="34"/>
        <v>1.3624392940415581E-7</v>
      </c>
      <c r="AY21" s="23">
        <f t="shared" si="35"/>
        <v>3.0571344391875737E-7</v>
      </c>
      <c r="AZ21" s="26">
        <f t="shared" si="36"/>
        <v>2.7469471399919562E-2</v>
      </c>
      <c r="BA21" s="28">
        <f t="shared" si="37"/>
        <v>0.97662023766212391</v>
      </c>
      <c r="BB21" s="29">
        <f t="shared" si="38"/>
        <v>6.9893135784331933E-3</v>
      </c>
      <c r="BC21" s="29">
        <f t="shared" si="39"/>
        <v>0.27746552170066419</v>
      </c>
      <c r="BD21" s="29">
        <f t="shared" si="40"/>
        <v>2.0327408835940477</v>
      </c>
      <c r="BE21" s="23">
        <f t="shared" si="172"/>
        <v>1.2610750729412215</v>
      </c>
      <c r="BF21" s="83">
        <f t="shared" si="173"/>
        <v>3.2938159565352692</v>
      </c>
      <c r="BG21" s="84">
        <f>'Health - Mortality'!AE19-'Health - Mortality'!P19</f>
        <v>78.147813270744535</v>
      </c>
      <c r="BH21" s="80">
        <f t="shared" si="41"/>
        <v>12.997310968044967</v>
      </c>
      <c r="BI21" s="80">
        <f t="shared" si="42"/>
        <v>65.150502302699564</v>
      </c>
      <c r="BJ21" s="80">
        <f t="shared" si="43"/>
        <v>63.432980808233012</v>
      </c>
      <c r="BK21" s="23">
        <f t="shared" si="44"/>
        <v>4.3959055700105475E-5</v>
      </c>
      <c r="BL21" s="23">
        <f t="shared" si="45"/>
        <v>1.1590484748802181E-7</v>
      </c>
      <c r="BM21" s="23">
        <f t="shared" si="46"/>
        <v>2.6007522131375536E-7</v>
      </c>
      <c r="BN21" s="26">
        <f t="shared" si="47"/>
        <v>2.3368710129753039E-2</v>
      </c>
      <c r="BO21" s="28">
        <f t="shared" si="48"/>
        <v>0.83082615273199345</v>
      </c>
      <c r="BP21" s="29">
        <f t="shared" si="49"/>
        <v>5.9459186761355188E-3</v>
      </c>
      <c r="BQ21" s="29">
        <f t="shared" si="50"/>
        <v>0.23604427086436436</v>
      </c>
      <c r="BR21" s="29">
        <f t="shared" si="51"/>
        <v>1.7292845496017248</v>
      </c>
      <c r="BS21" s="23">
        <f t="shared" si="174"/>
        <v>1.0728163422724932</v>
      </c>
      <c r="BT21" s="83">
        <f t="shared" si="175"/>
        <v>2.8021008918742183</v>
      </c>
      <c r="BU21" s="84">
        <f>'Health - Mortality'!AF19-'Health - Mortality'!Q19</f>
        <v>40.366465589679024</v>
      </c>
      <c r="BV21" s="80">
        <f t="shared" si="52"/>
        <v>6.7136300299570291</v>
      </c>
      <c r="BW21" s="80">
        <f t="shared" si="53"/>
        <v>33.652835559721993</v>
      </c>
      <c r="BX21" s="80">
        <f t="shared" si="54"/>
        <v>32.765667136138312</v>
      </c>
      <c r="BY21" s="23">
        <f t="shared" si="55"/>
        <v>2.270660732534385E-5</v>
      </c>
      <c r="BZ21" s="23">
        <f t="shared" si="56"/>
        <v>5.9869481204712567E-8</v>
      </c>
      <c r="CA21" s="23">
        <f t="shared" si="57"/>
        <v>1.3433923525816709E-7</v>
      </c>
      <c r="CB21" s="26">
        <f t="shared" si="58"/>
        <v>1.2070871772953353E-2</v>
      </c>
      <c r="CC21" s="28">
        <f t="shared" si="59"/>
        <v>0.42915487844899874</v>
      </c>
      <c r="CD21" s="29">
        <f t="shared" si="60"/>
        <v>3.0713043858017547E-3</v>
      </c>
      <c r="CE21" s="29">
        <f t="shared" si="61"/>
        <v>0.12192628992031246</v>
      </c>
      <c r="CF21" s="29">
        <f t="shared" si="62"/>
        <v>0.89324451119854809</v>
      </c>
      <c r="CG21" s="23">
        <f t="shared" si="176"/>
        <v>0.55415247275511303</v>
      </c>
      <c r="CH21" s="83">
        <f t="shared" si="177"/>
        <v>1.4473969839536611</v>
      </c>
      <c r="CI21" s="84">
        <f>'Health - Mortality'!AG19-'Health - Mortality'!R19</f>
        <v>1780.4825464559108</v>
      </c>
      <c r="CJ21" s="80">
        <f t="shared" si="63"/>
        <v>296.1245409297627</v>
      </c>
      <c r="CK21" s="80">
        <f t="shared" si="64"/>
        <v>1484.3580055261482</v>
      </c>
      <c r="CL21" s="80">
        <f t="shared" si="65"/>
        <v>1445.2268140561321</v>
      </c>
      <c r="CM21" s="23">
        <f t="shared" si="66"/>
        <v>1.0015421821408994E-3</v>
      </c>
      <c r="CN21" s="23">
        <f t="shared" si="67"/>
        <v>2.640720825893059E-6</v>
      </c>
      <c r="CO21" s="23">
        <f t="shared" si="68"/>
        <v>5.9254299376301414E-6</v>
      </c>
      <c r="CP21" s="26">
        <f t="shared" si="69"/>
        <v>0.53242155829827909</v>
      </c>
      <c r="CQ21" s="28">
        <f t="shared" si="70"/>
        <v>18.929147242462999</v>
      </c>
      <c r="CR21" s="29">
        <f t="shared" si="71"/>
        <v>0.13546897836831392</v>
      </c>
      <c r="CS21" s="29">
        <f t="shared" si="72"/>
        <v>5.3779202113931159</v>
      </c>
      <c r="CT21" s="29">
        <f t="shared" si="73"/>
        <v>39.399195314072649</v>
      </c>
      <c r="CU21" s="23">
        <f t="shared" si="178"/>
        <v>24.442536432224429</v>
      </c>
      <c r="CV21" s="83">
        <f t="shared" si="179"/>
        <v>63.841731746297079</v>
      </c>
      <c r="CW21" s="84">
        <f>'Health - Mortality'!AH19-'Health - Mortality'!S19</f>
        <v>650.20315511530271</v>
      </c>
      <c r="CX21" s="80">
        <f t="shared" si="74"/>
        <v>108.13984737051176</v>
      </c>
      <c r="CY21" s="80">
        <f t="shared" si="75"/>
        <v>542.0633077447909</v>
      </c>
      <c r="CZ21" s="80">
        <f t="shared" si="76"/>
        <v>527.77323553494489</v>
      </c>
      <c r="DA21" s="23">
        <f t="shared" si="77"/>
        <v>3.6574685222571677E-4</v>
      </c>
      <c r="DB21" s="23">
        <f t="shared" si="78"/>
        <v>9.6434812921479656E-7</v>
      </c>
      <c r="DC21" s="23">
        <f t="shared" si="79"/>
        <v>2.1638702656932742E-6</v>
      </c>
      <c r="DD21" s="26">
        <f t="shared" si="80"/>
        <v>0.19443165997107367</v>
      </c>
      <c r="DE21" s="28">
        <f t="shared" si="81"/>
        <v>6.9126155070660467</v>
      </c>
      <c r="DF21" s="29">
        <f t="shared" si="82"/>
        <v>4.9471059028719067E-2</v>
      </c>
      <c r="DG21" s="29">
        <f t="shared" si="83"/>
        <v>1.9639286531432156</v>
      </c>
      <c r="DH21" s="29">
        <f t="shared" si="84"/>
        <v>14.387942837859452</v>
      </c>
      <c r="DI21" s="23">
        <f t="shared" si="180"/>
        <v>8.926015219237982</v>
      </c>
      <c r="DJ21" s="83">
        <f t="shared" si="181"/>
        <v>23.313958057097434</v>
      </c>
      <c r="DK21" s="84">
        <f>'Health - Mortality'!AI19-'Health - Mortality'!T19</f>
        <v>253.90886934926755</v>
      </c>
      <c r="DL21" s="80">
        <f t="shared" si="85"/>
        <v>42.229365024505064</v>
      </c>
      <c r="DM21" s="80">
        <f t="shared" si="86"/>
        <v>211.67950432476249</v>
      </c>
      <c r="DN21" s="80">
        <f t="shared" si="87"/>
        <v>206.0991314071965</v>
      </c>
      <c r="DO21" s="23">
        <f t="shared" si="88"/>
        <v>1.4282669806518717E-4</v>
      </c>
      <c r="DP21" s="23">
        <f t="shared" si="89"/>
        <v>3.765846739156305E-7</v>
      </c>
      <c r="DQ21" s="23">
        <f t="shared" si="90"/>
        <v>8.4500643876950563E-7</v>
      </c>
      <c r="DR21" s="26">
        <f t="shared" si="91"/>
        <v>7.5926920010411181E-2</v>
      </c>
      <c r="DS21" s="28">
        <f t="shared" si="92"/>
        <v>2.6994245934320378</v>
      </c>
      <c r="DT21" s="29">
        <f t="shared" si="93"/>
        <v>1.9318793771871845E-2</v>
      </c>
      <c r="DU21" s="29">
        <f t="shared" si="94"/>
        <v>0.76692784382720336</v>
      </c>
      <c r="DV21" s="29">
        <f t="shared" si="95"/>
        <v>5.6185920807704273</v>
      </c>
      <c r="DW21" s="23">
        <f t="shared" si="182"/>
        <v>3.4856712310311133</v>
      </c>
      <c r="DX21" s="83">
        <f t="shared" si="183"/>
        <v>9.1042633118015406</v>
      </c>
      <c r="DY21" s="84">
        <f>'Health - Mortality'!AJ19-'Health - Mortality'!U19</f>
        <v>419.61552282865591</v>
      </c>
      <c r="DZ21" s="80">
        <f t="shared" si="96"/>
        <v>69.789200861293054</v>
      </c>
      <c r="EA21" s="80">
        <f t="shared" si="97"/>
        <v>349.82632196736284</v>
      </c>
      <c r="EB21" s="80">
        <f t="shared" si="98"/>
        <v>340.60407185304217</v>
      </c>
      <c r="EC21" s="23">
        <f t="shared" si="99"/>
        <v>2.3603862179415823E-4</v>
      </c>
      <c r="ED21" s="23">
        <f t="shared" si="100"/>
        <v>6.2235232364805159E-7</v>
      </c>
      <c r="EE21" s="23">
        <f t="shared" si="101"/>
        <v>1.3964766945974729E-6</v>
      </c>
      <c r="EF21" s="26">
        <f t="shared" si="102"/>
        <v>0.12547854007066073</v>
      </c>
      <c r="EG21" s="28">
        <f t="shared" si="103"/>
        <v>4.4611299519095908</v>
      </c>
      <c r="EH21" s="29">
        <f t="shared" si="104"/>
        <v>3.1926674203145045E-2</v>
      </c>
      <c r="EI21" s="29">
        <f t="shared" si="105"/>
        <v>1.2674422480166665</v>
      </c>
      <c r="EJ21" s="29">
        <f t="shared" si="106"/>
        <v>9.285411965228894</v>
      </c>
      <c r="EK21" s="23">
        <f t="shared" si="184"/>
        <v>5.7604988741294028</v>
      </c>
      <c r="EL21" s="83">
        <f t="shared" si="185"/>
        <v>15.045910839358296</v>
      </c>
      <c r="EM21" s="84">
        <f>'Health - Mortality'!AK19-'Health - Mortality'!V19</f>
        <v>60.665738704884291</v>
      </c>
      <c r="EN21" s="80">
        <f t="shared" si="107"/>
        <v>10.089744524543502</v>
      </c>
      <c r="EO21" s="80">
        <f t="shared" si="108"/>
        <v>50.575994180340786</v>
      </c>
      <c r="EP21" s="80">
        <f t="shared" si="109"/>
        <v>49.242691227354172</v>
      </c>
      <c r="EQ21" s="23">
        <f t="shared" si="110"/>
        <v>3.4125185020556435E-5</v>
      </c>
      <c r="ER21" s="23">
        <f t="shared" si="111"/>
        <v>8.9976326886808677E-8</v>
      </c>
      <c r="ES21" s="23">
        <f t="shared" si="112"/>
        <v>2.0189503403215211E-7</v>
      </c>
      <c r="ET21" s="26">
        <f t="shared" si="113"/>
        <v>1.8141007448157276E-2</v>
      </c>
      <c r="EU21" s="28">
        <f t="shared" si="114"/>
        <v>0.64496599688851664</v>
      </c>
      <c r="EV21" s="29">
        <f t="shared" si="115"/>
        <v>4.6157855692932851E-3</v>
      </c>
      <c r="EW21" s="29">
        <f t="shared" si="116"/>
        <v>0.18323993288758125</v>
      </c>
      <c r="EX21" s="29">
        <f t="shared" si="117"/>
        <v>1.3424345511636384</v>
      </c>
      <c r="EY21" s="23">
        <f t="shared" si="186"/>
        <v>0.83282171534539118</v>
      </c>
      <c r="EZ21" s="83">
        <f t="shared" si="187"/>
        <v>2.1752562665090296</v>
      </c>
      <c r="FA21" s="84">
        <f>'Health - Mortality'!AL19-'Health - Mortality'!W19</f>
        <v>287.86057899624961</v>
      </c>
      <c r="FB21" s="80">
        <f t="shared" si="118"/>
        <v>47.876111999366309</v>
      </c>
      <c r="FC21" s="80">
        <f t="shared" si="119"/>
        <v>239.9844669968833</v>
      </c>
      <c r="FD21" s="80">
        <f t="shared" si="120"/>
        <v>233.65790824695688</v>
      </c>
      <c r="FE21" s="23">
        <f t="shared" si="121"/>
        <v>1.6192493041514109E-4</v>
      </c>
      <c r="FF21" s="23">
        <f t="shared" si="122"/>
        <v>4.2694011655556201E-7</v>
      </c>
      <c r="FG21" s="23">
        <f t="shared" si="123"/>
        <v>9.5799742381252318E-7</v>
      </c>
      <c r="FH21" s="26">
        <f t="shared" si="124"/>
        <v>8.6079573398178913E-2</v>
      </c>
      <c r="FI21" s="28">
        <f t="shared" si="125"/>
        <v>3.0603811848461668</v>
      </c>
      <c r="FJ21" s="29">
        <f t="shared" si="126"/>
        <v>2.1902027979300329E-2</v>
      </c>
      <c r="FK21" s="29">
        <f t="shared" si="127"/>
        <v>0.86947846185224609</v>
      </c>
      <c r="FL21" s="29">
        <f t="shared" si="128"/>
        <v>6.36988843146524</v>
      </c>
      <c r="FM21" s="23">
        <f t="shared" si="188"/>
        <v>3.9517616746777136</v>
      </c>
      <c r="FN21" s="83">
        <f t="shared" si="189"/>
        <v>10.321650106142954</v>
      </c>
      <c r="FO21" s="84">
        <f>'Health - Mortality'!AM19-'Health - Mortality'!X19</f>
        <v>171.51069884508439</v>
      </c>
      <c r="FP21" s="80">
        <f t="shared" si="129"/>
        <v>28.525147332187593</v>
      </c>
      <c r="FQ21" s="80">
        <f t="shared" si="130"/>
        <v>142.98555151289679</v>
      </c>
      <c r="FR21" s="80">
        <f t="shared" si="131"/>
        <v>139.21611383487939</v>
      </c>
      <c r="FS21" s="23">
        <f t="shared" si="132"/>
        <v>9.647676688757142E-5</v>
      </c>
      <c r="FT21" s="23">
        <f t="shared" si="133"/>
        <v>2.543759135438973E-7</v>
      </c>
      <c r="FU21" s="23">
        <f t="shared" si="134"/>
        <v>5.7078606672300558E-7</v>
      </c>
      <c r="FV21" s="26">
        <f t="shared" si="135"/>
        <v>5.1287216336769567E-2</v>
      </c>
      <c r="FW21" s="28">
        <f t="shared" si="136"/>
        <v>1.8234108941750999</v>
      </c>
      <c r="FX21" s="29">
        <f t="shared" si="137"/>
        <v>1.3049484364801932E-2</v>
      </c>
      <c r="FY21" s="29">
        <f t="shared" si="138"/>
        <v>0.51804543415779991</v>
      </c>
      <c r="FZ21" s="29">
        <f t="shared" si="139"/>
        <v>3.7952540089209479</v>
      </c>
      <c r="GA21" s="23">
        <f t="shared" si="190"/>
        <v>2.3545058126977016</v>
      </c>
      <c r="GB21" s="83">
        <f t="shared" si="191"/>
        <v>6.14975982161865</v>
      </c>
      <c r="GC21" s="84">
        <f>'Health - Mortality'!AN19-'Health - Mortality'!Y19</f>
        <v>524.10546438315987</v>
      </c>
      <c r="GD21" s="80">
        <f t="shared" si="140"/>
        <v>87.167655952692854</v>
      </c>
      <c r="GE21" s="80">
        <f t="shared" si="141"/>
        <v>436.93780843046699</v>
      </c>
      <c r="GF21" s="80">
        <f t="shared" si="142"/>
        <v>425.4190932832264</v>
      </c>
      <c r="GG21" s="23">
        <f t="shared" si="143"/>
        <v>2.9481543164527587E-4</v>
      </c>
      <c r="GH21" s="23">
        <f t="shared" si="144"/>
        <v>7.7732647113889291E-7</v>
      </c>
      <c r="GI21" s="23">
        <f t="shared" si="145"/>
        <v>1.7442182824612285E-6</v>
      </c>
      <c r="GJ21" s="26">
        <f t="shared" si="146"/>
        <v>0.15672439396554061</v>
      </c>
      <c r="GK21" s="28">
        <f t="shared" si="147"/>
        <v>5.5720116580957137</v>
      </c>
      <c r="GL21" s="29">
        <f t="shared" si="148"/>
        <v>3.9876847969425207E-2</v>
      </c>
      <c r="GM21" s="29">
        <f t="shared" si="149"/>
        <v>1.5830525131618109</v>
      </c>
      <c r="GN21" s="29">
        <f t="shared" si="150"/>
        <v>11.597605153450004</v>
      </c>
      <c r="GO21" s="23">
        <f t="shared" si="192"/>
        <v>7.1949410192269498</v>
      </c>
      <c r="GP21" s="83">
        <f t="shared" si="193"/>
        <v>18.792546172676953</v>
      </c>
      <c r="GQ21" s="84">
        <f>'Health - Mortality'!AO19-'Health - Mortality'!Z19</f>
        <v>551.14437893777585</v>
      </c>
      <c r="GR21" s="80">
        <f t="shared" si="151"/>
        <v>91.664687488139592</v>
      </c>
      <c r="GS21" s="80">
        <f t="shared" si="152"/>
        <v>459.47969144963628</v>
      </c>
      <c r="GT21" s="80">
        <f t="shared" si="153"/>
        <v>447.36671889465856</v>
      </c>
      <c r="GU21" s="23">
        <f t="shared" si="154"/>
        <v>3.1002513619399837E-4</v>
      </c>
      <c r="GV21" s="23">
        <f t="shared" si="155"/>
        <v>8.1742920897029993E-7</v>
      </c>
      <c r="GW21" s="23">
        <f t="shared" si="156"/>
        <v>1.8342035474681003E-6</v>
      </c>
      <c r="GX21" s="26">
        <f t="shared" si="157"/>
        <v>0.1648098992407922</v>
      </c>
      <c r="GY21" s="28">
        <f t="shared" si="158"/>
        <v>5.8594750740665695</v>
      </c>
      <c r="GZ21" s="29">
        <f t="shared" si="159"/>
        <v>4.1934118420176386E-2</v>
      </c>
      <c r="HA21" s="29">
        <f t="shared" si="160"/>
        <v>1.6647231396820479</v>
      </c>
      <c r="HB21" s="29">
        <f t="shared" si="161"/>
        <v>12.195932543818623</v>
      </c>
      <c r="HC21" s="23">
        <f t="shared" si="194"/>
        <v>7.5661323321687934</v>
      </c>
      <c r="HD21" s="83">
        <f t="shared" si="195"/>
        <v>19.762064875987416</v>
      </c>
    </row>
    <row r="22" spans="2:212" x14ac:dyDescent="0.3">
      <c r="B22" s="6">
        <v>2039</v>
      </c>
      <c r="C22" s="84">
        <f>'Health - Mortality'!AA20-'Health - Mortality'!L20</f>
        <v>2028.6387560944777</v>
      </c>
      <c r="D22" s="80">
        <f t="shared" si="0"/>
        <v>337.39714076757878</v>
      </c>
      <c r="E22" s="80">
        <f t="shared" si="1"/>
        <v>1691.2416153268989</v>
      </c>
      <c r="F22" s="80">
        <f t="shared" si="2"/>
        <v>1646.6564820739827</v>
      </c>
      <c r="G22" s="95">
        <f t="shared" si="3"/>
        <v>1.1411329420772699E-3</v>
      </c>
      <c r="H22" s="95">
        <f t="shared" si="4"/>
        <v>3.0087734485776554E-6</v>
      </c>
      <c r="I22" s="95">
        <f t="shared" si="5"/>
        <v>6.7512915765033298E-6</v>
      </c>
      <c r="J22" s="118">
        <f t="shared" si="6"/>
        <v>0.60662824799605519</v>
      </c>
      <c r="K22" s="28">
        <f t="shared" si="163"/>
        <v>21.567412605260401</v>
      </c>
      <c r="L22" s="29">
        <f t="shared" si="164"/>
        <v>0.15435007791203373</v>
      </c>
      <c r="M22" s="29">
        <f t="shared" si="165"/>
        <v>6.1274722348344222</v>
      </c>
      <c r="N22" s="29">
        <f t="shared" si="166"/>
        <v>45.497118599704137</v>
      </c>
      <c r="O22" s="23">
        <f t="shared" si="162"/>
        <v>27.849234918006857</v>
      </c>
      <c r="P22" s="83">
        <f t="shared" si="167"/>
        <v>73.346353517710995</v>
      </c>
      <c r="Q22" s="84">
        <f>'Health - Mortality'!AB20-'Health - Mortality'!M20</f>
        <v>369.69557347751834</v>
      </c>
      <c r="R22" s="80">
        <f t="shared" si="8"/>
        <v>61.486663937093738</v>
      </c>
      <c r="S22" s="80">
        <f t="shared" si="9"/>
        <v>308.2089095404246</v>
      </c>
      <c r="T22" s="80">
        <f t="shared" si="10"/>
        <v>300.08379295325989</v>
      </c>
      <c r="U22" s="23">
        <f t="shared" si="11"/>
        <v>2.0795806851660908E-4</v>
      </c>
      <c r="V22" s="23">
        <f t="shared" si="12"/>
        <v>5.4831360299814935E-7</v>
      </c>
      <c r="W22" s="23">
        <f t="shared" si="13"/>
        <v>1.2303435511083656E-6</v>
      </c>
      <c r="X22" s="26">
        <f t="shared" si="14"/>
        <v>0.11055086932398094</v>
      </c>
      <c r="Y22" s="28">
        <f t="shared" si="15"/>
        <v>3.9304074949639118</v>
      </c>
      <c r="Z22" s="29">
        <f t="shared" si="16"/>
        <v>2.812848783380506E-2</v>
      </c>
      <c r="AA22" s="29">
        <f t="shared" si="17"/>
        <v>1.1166598069859526</v>
      </c>
      <c r="AB22" s="29">
        <f t="shared" si="18"/>
        <v>8.2913151992985696</v>
      </c>
      <c r="AC22" s="23">
        <f t="shared" si="168"/>
        <v>5.0751957897836695</v>
      </c>
      <c r="AD22" s="83">
        <f t="shared" si="169"/>
        <v>13.36651098908224</v>
      </c>
      <c r="AE22" s="84">
        <f>'Health - Mortality'!AC20-'Health - Mortality'!N20</f>
        <v>280.94462964553884</v>
      </c>
      <c r="AF22" s="80">
        <f t="shared" si="19"/>
        <v>46.725871953121953</v>
      </c>
      <c r="AG22" s="80">
        <f t="shared" si="20"/>
        <v>234.21875769241689</v>
      </c>
      <c r="AH22" s="80">
        <f t="shared" si="21"/>
        <v>228.04419669095381</v>
      </c>
      <c r="AI22" s="23">
        <f t="shared" si="22"/>
        <v>1.5803462830683097E-4</v>
      </c>
      <c r="AJ22" s="23">
        <f t="shared" si="23"/>
        <v>4.1668273351207383E-7</v>
      </c>
      <c r="AK22" s="23">
        <f t="shared" si="24"/>
        <v>9.3498120643291076E-7</v>
      </c>
      <c r="AL22" s="26">
        <f t="shared" si="25"/>
        <v>8.4011482060947384E-2</v>
      </c>
      <c r="AM22" s="28">
        <f t="shared" si="26"/>
        <v>2.9868544749991055</v>
      </c>
      <c r="AN22" s="29">
        <f t="shared" si="27"/>
        <v>2.1375824229169386E-2</v>
      </c>
      <c r="AO22" s="29">
        <f t="shared" si="28"/>
        <v>0.84858894295850984</v>
      </c>
      <c r="AP22" s="29">
        <f t="shared" si="29"/>
        <v>6.300861154571054</v>
      </c>
      <c r="AQ22" s="23">
        <f t="shared" si="170"/>
        <v>3.8568192421867846</v>
      </c>
      <c r="AR22" s="83">
        <f t="shared" si="171"/>
        <v>10.157680396757838</v>
      </c>
      <c r="AS22" s="84">
        <f>'Health - Mortality'!AD20-'Health - Mortality'!O20</f>
        <v>103.47457113427748</v>
      </c>
      <c r="AT22" s="80">
        <f t="shared" si="30"/>
        <v>17.209581714818988</v>
      </c>
      <c r="AU22" s="80">
        <f t="shared" si="31"/>
        <v>86.264989419458487</v>
      </c>
      <c r="AV22" s="80">
        <f t="shared" si="32"/>
        <v>83.990840052820218</v>
      </c>
      <c r="AW22" s="23">
        <f t="shared" si="33"/>
        <v>5.8205652156604411E-5</v>
      </c>
      <c r="AX22" s="23">
        <f t="shared" si="34"/>
        <v>1.5346820191444411E-7</v>
      </c>
      <c r="AY22" s="23">
        <f t="shared" si="35"/>
        <v>3.4436244421656294E-7</v>
      </c>
      <c r="AZ22" s="26">
        <f t="shared" si="36"/>
        <v>3.0942225475458968E-2</v>
      </c>
      <c r="BA22" s="28">
        <f t="shared" si="37"/>
        <v>1.1000868257598233</v>
      </c>
      <c r="BB22" s="29">
        <f t="shared" si="38"/>
        <v>7.8729187582109832E-3</v>
      </c>
      <c r="BC22" s="29">
        <f t="shared" si="39"/>
        <v>0.31254335437095254</v>
      </c>
      <c r="BD22" s="29">
        <f t="shared" si="40"/>
        <v>2.3206669106594227</v>
      </c>
      <c r="BE22" s="23">
        <f t="shared" si="172"/>
        <v>1.4205030988889868</v>
      </c>
      <c r="BF22" s="83">
        <f t="shared" si="173"/>
        <v>3.7411700095484095</v>
      </c>
      <c r="BG22" s="84">
        <f>'Health - Mortality'!AE20-'Health - Mortality'!P20</f>
        <v>88.027440478687993</v>
      </c>
      <c r="BH22" s="80">
        <f t="shared" si="41"/>
        <v>14.640461066501659</v>
      </c>
      <c r="BI22" s="80">
        <f t="shared" si="42"/>
        <v>73.386979412186335</v>
      </c>
      <c r="BJ22" s="80">
        <f t="shared" si="43"/>
        <v>71.452324879995857</v>
      </c>
      <c r="BK22" s="23">
        <f t="shared" si="44"/>
        <v>4.9516461141837123E-5</v>
      </c>
      <c r="BL22" s="23">
        <f t="shared" si="45"/>
        <v>1.3055780624462823E-7</v>
      </c>
      <c r="BM22" s="23">
        <f t="shared" si="46"/>
        <v>2.9295453200798304E-7</v>
      </c>
      <c r="BN22" s="26">
        <f t="shared" si="47"/>
        <v>2.6323036485790471E-2</v>
      </c>
      <c r="BO22" s="28">
        <f t="shared" si="48"/>
        <v>0.9358611155807216</v>
      </c>
      <c r="BP22" s="29">
        <f t="shared" si="49"/>
        <v>6.6976154603494284E-3</v>
      </c>
      <c r="BQ22" s="29">
        <f t="shared" si="50"/>
        <v>0.26588553325044539</v>
      </c>
      <c r="BR22" s="29">
        <f t="shared" si="51"/>
        <v>1.9742277364342853</v>
      </c>
      <c r="BS22" s="23">
        <f t="shared" si="174"/>
        <v>1.2084442642915163</v>
      </c>
      <c r="BT22" s="83">
        <f t="shared" si="175"/>
        <v>3.1826720007258018</v>
      </c>
      <c r="BU22" s="84">
        <f>'Health - Mortality'!AF20-'Health - Mortality'!Q20</f>
        <v>45.469687484662018</v>
      </c>
      <c r="BV22" s="80">
        <f t="shared" si="52"/>
        <v>7.5623826582389562</v>
      </c>
      <c r="BW22" s="80">
        <f t="shared" si="53"/>
        <v>37.907304826423058</v>
      </c>
      <c r="BX22" s="80">
        <f t="shared" si="54"/>
        <v>36.907978519863185</v>
      </c>
      <c r="BY22" s="23">
        <f t="shared" si="55"/>
        <v>2.5577229114265187E-5</v>
      </c>
      <c r="BZ22" s="23">
        <f t="shared" si="56"/>
        <v>6.7438319418858326E-8</v>
      </c>
      <c r="CA22" s="23">
        <f t="shared" si="57"/>
        <v>1.5132271193143906E-7</v>
      </c>
      <c r="CB22" s="26">
        <f t="shared" si="58"/>
        <v>1.3596899286717597E-2</v>
      </c>
      <c r="CC22" s="28">
        <f t="shared" si="59"/>
        <v>0.48340963025961203</v>
      </c>
      <c r="CD22" s="29">
        <f t="shared" si="60"/>
        <v>3.4595857861874323E-3</v>
      </c>
      <c r="CE22" s="29">
        <f t="shared" si="61"/>
        <v>0.13734049334897408</v>
      </c>
      <c r="CF22" s="29">
        <f t="shared" si="62"/>
        <v>1.0197674465038198</v>
      </c>
      <c r="CG22" s="23">
        <f t="shared" si="176"/>
        <v>0.6242097093947736</v>
      </c>
      <c r="CH22" s="83">
        <f t="shared" si="177"/>
        <v>1.6439771558985934</v>
      </c>
      <c r="CI22" s="84">
        <f>'Health - Mortality'!AG20-'Health - Mortality'!R20</f>
        <v>2005.5752659193677</v>
      </c>
      <c r="CJ22" s="80">
        <f t="shared" si="63"/>
        <v>333.56128994503791</v>
      </c>
      <c r="CK22" s="80">
        <f t="shared" si="64"/>
        <v>1672.0139759743297</v>
      </c>
      <c r="CL22" s="80">
        <f t="shared" si="65"/>
        <v>1627.9357288191209</v>
      </c>
      <c r="CM22" s="23">
        <f t="shared" si="66"/>
        <v>1.1281594600716508E-3</v>
      </c>
      <c r="CN22" s="23">
        <f t="shared" si="67"/>
        <v>2.9745668572553066E-6</v>
      </c>
      <c r="CO22" s="23">
        <f t="shared" si="68"/>
        <v>6.6745364881583964E-6</v>
      </c>
      <c r="CP22" s="26">
        <f t="shared" si="69"/>
        <v>0.59973152249696404</v>
      </c>
      <c r="CQ22" s="28">
        <f t="shared" si="70"/>
        <v>21.322213795354202</v>
      </c>
      <c r="CR22" s="29">
        <f t="shared" si="71"/>
        <v>0.15259527977719722</v>
      </c>
      <c r="CS22" s="29">
        <f t="shared" si="72"/>
        <v>6.0578093166525608</v>
      </c>
      <c r="CT22" s="29">
        <f t="shared" si="73"/>
        <v>44.979864187272305</v>
      </c>
      <c r="CU22" s="23">
        <f t="shared" si="178"/>
        <v>27.532618391783963</v>
      </c>
      <c r="CV22" s="83">
        <f t="shared" si="179"/>
        <v>72.512482579056268</v>
      </c>
      <c r="CW22" s="84">
        <f>'Health - Mortality'!AH20-'Health - Mortality'!S20</f>
        <v>732.40334105924717</v>
      </c>
      <c r="CX22" s="80">
        <f t="shared" si="74"/>
        <v>121.81113686191618</v>
      </c>
      <c r="CY22" s="80">
        <f t="shared" si="75"/>
        <v>610.59220419733094</v>
      </c>
      <c r="CZ22" s="80">
        <f t="shared" si="76"/>
        <v>594.49554802436433</v>
      </c>
      <c r="DA22" s="23">
        <f t="shared" si="77"/>
        <v>4.1198541478088446E-4</v>
      </c>
      <c r="DB22" s="23">
        <f t="shared" si="78"/>
        <v>1.086263248993159E-6</v>
      </c>
      <c r="DC22" s="23">
        <f t="shared" si="79"/>
        <v>2.4374317468998941E-6</v>
      </c>
      <c r="DD22" s="26">
        <f t="shared" si="80"/>
        <v>0.21901215989217582</v>
      </c>
      <c r="DE22" s="28">
        <f t="shared" si="81"/>
        <v>7.7865243393587162</v>
      </c>
      <c r="DF22" s="29">
        <f t="shared" si="82"/>
        <v>5.572530467334906E-2</v>
      </c>
      <c r="DG22" s="29">
        <f t="shared" si="83"/>
        <v>2.212213053486344</v>
      </c>
      <c r="DH22" s="29">
        <f t="shared" si="84"/>
        <v>16.425911991913186</v>
      </c>
      <c r="DI22" s="23">
        <f t="shared" si="180"/>
        <v>10.05446269751841</v>
      </c>
      <c r="DJ22" s="83">
        <f t="shared" si="181"/>
        <v>26.480374689431596</v>
      </c>
      <c r="DK22" s="84">
        <f>'Health - Mortality'!AI20-'Health - Mortality'!T20</f>
        <v>286.00861557339238</v>
      </c>
      <c r="DL22" s="80">
        <f t="shared" si="85"/>
        <v>47.568098972502362</v>
      </c>
      <c r="DM22" s="80">
        <f t="shared" si="86"/>
        <v>238.44051660089002</v>
      </c>
      <c r="DN22" s="80">
        <f t="shared" si="87"/>
        <v>232.15466003894039</v>
      </c>
      <c r="DO22" s="23">
        <f t="shared" si="88"/>
        <v>1.6088317940698567E-4</v>
      </c>
      <c r="DP22" s="23">
        <f t="shared" si="89"/>
        <v>4.2419337894262333E-7</v>
      </c>
      <c r="DQ22" s="23">
        <f t="shared" si="90"/>
        <v>9.5183410615965564E-7</v>
      </c>
      <c r="DR22" s="26">
        <f t="shared" si="91"/>
        <v>8.5525776758345634E-2</v>
      </c>
      <c r="DS22" s="28">
        <f t="shared" si="92"/>
        <v>3.0406920907920294</v>
      </c>
      <c r="DT22" s="29">
        <f t="shared" si="93"/>
        <v>2.1761120339756575E-2</v>
      </c>
      <c r="DU22" s="29">
        <f t="shared" si="94"/>
        <v>0.86388463475050348</v>
      </c>
      <c r="DV22" s="29">
        <f t="shared" si="95"/>
        <v>6.4144332568759221</v>
      </c>
      <c r="DW22" s="23">
        <f t="shared" si="182"/>
        <v>3.9263378458822893</v>
      </c>
      <c r="DX22" s="83">
        <f t="shared" si="183"/>
        <v>10.340771102758211</v>
      </c>
      <c r="DY22" s="84">
        <f>'Health - Mortality'!AJ20-'Health - Mortality'!U20</f>
        <v>472.66428724962248</v>
      </c>
      <c r="DZ22" s="80">
        <f t="shared" si="96"/>
        <v>78.612112965834058</v>
      </c>
      <c r="EA22" s="80">
        <f t="shared" si="97"/>
        <v>394.05217428378842</v>
      </c>
      <c r="EB22" s="80">
        <f t="shared" si="98"/>
        <v>383.66402599094488</v>
      </c>
      <c r="EC22" s="23">
        <f t="shared" si="99"/>
        <v>2.6587917001172481E-4</v>
      </c>
      <c r="ED22" s="23">
        <f t="shared" si="100"/>
        <v>7.0103154309515432E-7</v>
      </c>
      <c r="EE22" s="23">
        <f t="shared" si="101"/>
        <v>1.5730225065628743E-6</v>
      </c>
      <c r="EF22" s="26">
        <f t="shared" si="102"/>
        <v>0.14134182717506408</v>
      </c>
      <c r="EG22" s="28">
        <f t="shared" si="103"/>
        <v>5.0251163132215986</v>
      </c>
      <c r="EH22" s="29">
        <f t="shared" si="104"/>
        <v>3.5962918160781419E-2</v>
      </c>
      <c r="EI22" s="29">
        <f t="shared" si="105"/>
        <v>1.4276752269564648</v>
      </c>
      <c r="EJ22" s="29">
        <f t="shared" si="106"/>
        <v>10.600637038129806</v>
      </c>
      <c r="EK22" s="23">
        <f t="shared" si="184"/>
        <v>6.4887544583388452</v>
      </c>
      <c r="EL22" s="83">
        <f t="shared" si="185"/>
        <v>17.08939149646865</v>
      </c>
      <c r="EM22" s="84">
        <f>'Health - Mortality'!AK20-'Health - Mortality'!V20</f>
        <v>68.335241632909771</v>
      </c>
      <c r="EN22" s="80">
        <f t="shared" si="107"/>
        <v>11.365313351793029</v>
      </c>
      <c r="EO22" s="80">
        <f t="shared" si="108"/>
        <v>56.969928281116744</v>
      </c>
      <c r="EP22" s="80">
        <f t="shared" si="109"/>
        <v>55.468066086617874</v>
      </c>
      <c r="EQ22" s="23">
        <f t="shared" si="110"/>
        <v>3.8439369798026188E-5</v>
      </c>
      <c r="ER22" s="23">
        <f t="shared" si="111"/>
        <v>1.0135134213006325E-7</v>
      </c>
      <c r="ES22" s="23">
        <f t="shared" si="112"/>
        <v>2.274190709551333E-7</v>
      </c>
      <c r="ET22" s="26">
        <f t="shared" si="113"/>
        <v>2.0434435546310022E-2</v>
      </c>
      <c r="EU22" s="28">
        <f t="shared" si="114"/>
        <v>0.72650408918269493</v>
      </c>
      <c r="EV22" s="29">
        <f t="shared" si="115"/>
        <v>5.199323851272245E-3</v>
      </c>
      <c r="EW22" s="29">
        <f t="shared" si="116"/>
        <v>0.20640554879887898</v>
      </c>
      <c r="EX22" s="29">
        <f t="shared" si="117"/>
        <v>1.5325826659732518</v>
      </c>
      <c r="EY22" s="23">
        <f t="shared" si="186"/>
        <v>0.93810896183284609</v>
      </c>
      <c r="EZ22" s="83">
        <f t="shared" si="187"/>
        <v>2.4706916278060977</v>
      </c>
      <c r="FA22" s="84">
        <f>'Health - Mortality'!AL20-'Health - Mortality'!W20</f>
        <v>324.25257884009397</v>
      </c>
      <c r="FB22" s="80">
        <f t="shared" si="118"/>
        <v>53.928720753507363</v>
      </c>
      <c r="FC22" s="80">
        <f t="shared" si="119"/>
        <v>270.3238580865866</v>
      </c>
      <c r="FD22" s="80">
        <f t="shared" si="120"/>
        <v>263.19748115439216</v>
      </c>
      <c r="FE22" s="23">
        <f t="shared" si="121"/>
        <v>1.8239585443999377E-4</v>
      </c>
      <c r="FF22" s="23">
        <f t="shared" si="122"/>
        <v>4.8091487304774331E-7</v>
      </c>
      <c r="FG22" s="23">
        <f t="shared" si="123"/>
        <v>1.079109672733008E-6</v>
      </c>
      <c r="FH22" s="26">
        <f t="shared" si="124"/>
        <v>9.6961952057278061E-2</v>
      </c>
      <c r="FI22" s="28">
        <f t="shared" si="125"/>
        <v>3.4472816489158822</v>
      </c>
      <c r="FJ22" s="29">
        <f t="shared" si="126"/>
        <v>2.4670932987349233E-2</v>
      </c>
      <c r="FK22" s="29">
        <f t="shared" si="127"/>
        <v>0.97939993897247812</v>
      </c>
      <c r="FL22" s="29">
        <f t="shared" si="128"/>
        <v>7.2721464042958548</v>
      </c>
      <c r="FM22" s="23">
        <f t="shared" si="188"/>
        <v>4.4513525208757097</v>
      </c>
      <c r="FN22" s="83">
        <f t="shared" si="189"/>
        <v>11.723498925171565</v>
      </c>
      <c r="FO22" s="84">
        <f>'Health - Mortality'!AM20-'Health - Mortality'!X20</f>
        <v>193.19347787426597</v>
      </c>
      <c r="FP22" s="80">
        <f t="shared" si="129"/>
        <v>32.131362399489788</v>
      </c>
      <c r="FQ22" s="80">
        <f t="shared" si="130"/>
        <v>161.06211547477619</v>
      </c>
      <c r="FR22" s="80">
        <f t="shared" si="131"/>
        <v>156.81613677169688</v>
      </c>
      <c r="FS22" s="23">
        <f t="shared" si="132"/>
        <v>1.0867358278278593E-4</v>
      </c>
      <c r="FT22" s="23">
        <f t="shared" si="133"/>
        <v>2.8653470457477308E-7</v>
      </c>
      <c r="FU22" s="23">
        <f t="shared" si="134"/>
        <v>6.429461607639573E-7</v>
      </c>
      <c r="FV22" s="26">
        <f t="shared" si="135"/>
        <v>5.7771064786693124E-2</v>
      </c>
      <c r="FW22" s="28">
        <f t="shared" si="136"/>
        <v>2.0539307145946539</v>
      </c>
      <c r="FX22" s="29">
        <f t="shared" si="137"/>
        <v>1.4699230344685859E-2</v>
      </c>
      <c r="FY22" s="29">
        <f t="shared" si="138"/>
        <v>0.58353793550936761</v>
      </c>
      <c r="FZ22" s="29">
        <f t="shared" si="139"/>
        <v>4.3328298590019845</v>
      </c>
      <c r="GA22" s="23">
        <f t="shared" si="190"/>
        <v>2.6521678804487072</v>
      </c>
      <c r="GB22" s="83">
        <f t="shared" si="191"/>
        <v>6.9849977394506917</v>
      </c>
      <c r="GC22" s="84">
        <f>'Health - Mortality'!AN20-'Health - Mortality'!Y20</f>
        <v>590.36408876478595</v>
      </c>
      <c r="GD22" s="80">
        <f t="shared" si="140"/>
        <v>98.187592523653493</v>
      </c>
      <c r="GE22" s="80">
        <f t="shared" si="141"/>
        <v>492.17649624113244</v>
      </c>
      <c r="GF22" s="80">
        <f t="shared" si="142"/>
        <v>479.20155849717037</v>
      </c>
      <c r="GG22" s="23">
        <f t="shared" si="143"/>
        <v>3.3208668003853904E-4</v>
      </c>
      <c r="GH22" s="23">
        <f t="shared" si="144"/>
        <v>8.7559788056543744E-7</v>
      </c>
      <c r="GI22" s="23">
        <f t="shared" si="145"/>
        <v>1.9647263898383986E-6</v>
      </c>
      <c r="GJ22" s="26">
        <f t="shared" si="146"/>
        <v>0.17653785415035753</v>
      </c>
      <c r="GK22" s="28">
        <f t="shared" si="147"/>
        <v>6.2764382527283882</v>
      </c>
      <c r="GL22" s="29">
        <f t="shared" si="148"/>
        <v>4.4918171273006943E-2</v>
      </c>
      <c r="GM22" s="29">
        <f t="shared" si="149"/>
        <v>1.7831856714173306</v>
      </c>
      <c r="GN22" s="29">
        <f t="shared" si="150"/>
        <v>13.240339061276815</v>
      </c>
      <c r="GO22" s="23">
        <f t="shared" si="192"/>
        <v>8.1045420954187257</v>
      </c>
      <c r="GP22" s="83">
        <f t="shared" si="193"/>
        <v>21.344881156695543</v>
      </c>
      <c r="GQ22" s="84">
        <f>'Health - Mortality'!AO20-'Health - Mortality'!Z20</f>
        <v>620.82132540324005</v>
      </c>
      <c r="GR22" s="80">
        <f t="shared" si="151"/>
        <v>103.25314918159667</v>
      </c>
      <c r="GS22" s="80">
        <f t="shared" si="152"/>
        <v>517.5681762216434</v>
      </c>
      <c r="GT22" s="80">
        <f t="shared" si="153"/>
        <v>503.92385367471365</v>
      </c>
      <c r="GU22" s="23">
        <f t="shared" si="154"/>
        <v>3.4921923059657656E-4</v>
      </c>
      <c r="GV22" s="23">
        <f t="shared" si="155"/>
        <v>9.2077049921896772E-7</v>
      </c>
      <c r="GW22" s="23">
        <f t="shared" si="156"/>
        <v>2.0660878000663263E-6</v>
      </c>
      <c r="GX22" s="26">
        <f t="shared" si="157"/>
        <v>0.18564554769376451</v>
      </c>
      <c r="GY22" s="28">
        <f t="shared" si="158"/>
        <v>6.6002434582752967</v>
      </c>
      <c r="GZ22" s="29">
        <f t="shared" si="159"/>
        <v>4.7235526609933041E-2</v>
      </c>
      <c r="HA22" s="29">
        <f t="shared" si="160"/>
        <v>1.8751812873401978</v>
      </c>
      <c r="HB22" s="29">
        <f t="shared" si="161"/>
        <v>13.923416077032339</v>
      </c>
      <c r="HC22" s="23">
        <f t="shared" si="194"/>
        <v>8.5226602722254281</v>
      </c>
      <c r="HD22" s="83">
        <f t="shared" si="195"/>
        <v>22.446076349257766</v>
      </c>
    </row>
    <row r="23" spans="2:212" x14ac:dyDescent="0.3">
      <c r="B23" s="6">
        <v>2040</v>
      </c>
      <c r="C23" s="84">
        <f>'Health - Mortality'!AA21-'Health - Mortality'!L21</f>
        <v>2266.4039219412298</v>
      </c>
      <c r="D23" s="80">
        <f t="shared" si="0"/>
        <v>376.94153322770552</v>
      </c>
      <c r="E23" s="80">
        <f t="shared" si="1"/>
        <v>1889.4623887135242</v>
      </c>
      <c r="F23" s="80">
        <f t="shared" si="2"/>
        <v>1839.651686556173</v>
      </c>
      <c r="G23" s="95">
        <f t="shared" si="3"/>
        <v>1.2748786187834278E-3</v>
      </c>
      <c r="H23" s="95">
        <f t="shared" si="4"/>
        <v>3.3614146055343622E-6</v>
      </c>
      <c r="I23" s="95">
        <f t="shared" si="5"/>
        <v>7.5425719148803095E-6</v>
      </c>
      <c r="J23" s="118">
        <f t="shared" si="6"/>
        <v>0.67772768132729411</v>
      </c>
      <c r="K23" s="28">
        <f t="shared" si="163"/>
        <v>24.095205895006785</v>
      </c>
      <c r="L23" s="29">
        <f t="shared" si="164"/>
        <v>0.17244056926391277</v>
      </c>
      <c r="M23" s="29">
        <f t="shared" si="165"/>
        <v>6.8456382699453693</v>
      </c>
      <c r="N23" s="29">
        <f t="shared" si="166"/>
        <v>51.507303780874352</v>
      </c>
      <c r="O23" s="23">
        <f t="shared" si="162"/>
        <v>31.113284734216066</v>
      </c>
      <c r="P23" s="83">
        <f t="shared" si="167"/>
        <v>82.620588515090418</v>
      </c>
      <c r="Q23" s="84">
        <f>'Health - Mortality'!AB21-'Health - Mortality'!M21</f>
        <v>413.02548082382111</v>
      </c>
      <c r="R23" s="80">
        <f t="shared" si="8"/>
        <v>68.693164751714775</v>
      </c>
      <c r="S23" s="80">
        <f t="shared" si="9"/>
        <v>344.33231607210632</v>
      </c>
      <c r="T23" s="80">
        <f t="shared" si="10"/>
        <v>335.25490096108291</v>
      </c>
      <c r="U23" s="23">
        <f t="shared" si="11"/>
        <v>2.3233164636603045E-4</v>
      </c>
      <c r="V23" s="23">
        <f t="shared" si="12"/>
        <v>6.1257830974360901E-7</v>
      </c>
      <c r="W23" s="23">
        <f t="shared" si="13"/>
        <v>1.3745450939404401E-6</v>
      </c>
      <c r="X23" s="26">
        <f t="shared" si="14"/>
        <v>0.12350790551406293</v>
      </c>
      <c r="Y23" s="28">
        <f t="shared" si="15"/>
        <v>4.3910681163179754</v>
      </c>
      <c r="Z23" s="29">
        <f t="shared" si="16"/>
        <v>3.1425267289847139E-2</v>
      </c>
      <c r="AA23" s="29">
        <f t="shared" si="17"/>
        <v>1.2475371272603435</v>
      </c>
      <c r="AB23" s="29">
        <f t="shared" si="18"/>
        <v>9.3866008190687822</v>
      </c>
      <c r="AC23" s="23">
        <f t="shared" si="168"/>
        <v>5.6700305108681661</v>
      </c>
      <c r="AD23" s="83">
        <f t="shared" si="169"/>
        <v>15.056631329936948</v>
      </c>
      <c r="AE23" s="84">
        <f>'Health - Mortality'!AC21-'Health - Mortality'!N21</f>
        <v>313.87254559940084</v>
      </c>
      <c r="AF23" s="80">
        <f t="shared" si="19"/>
        <v>52.202344617805075</v>
      </c>
      <c r="AG23" s="80">
        <f t="shared" si="20"/>
        <v>261.67020098159577</v>
      </c>
      <c r="AH23" s="80">
        <f t="shared" si="21"/>
        <v>254.77195493954414</v>
      </c>
      <c r="AI23" s="23">
        <f t="shared" si="22"/>
        <v>1.7655696477310409E-4</v>
      </c>
      <c r="AJ23" s="23">
        <f t="shared" si="23"/>
        <v>4.6551973760722908E-7</v>
      </c>
      <c r="AK23" s="23">
        <f t="shared" si="24"/>
        <v>1.0445650152521312E-6</v>
      </c>
      <c r="AL23" s="26">
        <f t="shared" si="25"/>
        <v>9.3857988199728057E-2</v>
      </c>
      <c r="AM23" s="28">
        <f t="shared" si="26"/>
        <v>3.3369266342116672</v>
      </c>
      <c r="AN23" s="29">
        <f t="shared" si="27"/>
        <v>2.3881162539250853E-2</v>
      </c>
      <c r="AO23" s="29">
        <f t="shared" si="28"/>
        <v>0.94804720784283425</v>
      </c>
      <c r="AP23" s="29">
        <f t="shared" si="29"/>
        <v>7.1332071031793323</v>
      </c>
      <c r="AQ23" s="23">
        <f t="shared" si="170"/>
        <v>4.3088550045937524</v>
      </c>
      <c r="AR23" s="83">
        <f t="shared" si="171"/>
        <v>11.442062107773085</v>
      </c>
      <c r="AS23" s="84">
        <f>'Health - Mortality'!AD21-'Health - Mortality'!O21</f>
        <v>115.60223481651332</v>
      </c>
      <c r="AT23" s="80">
        <f t="shared" si="30"/>
        <v>19.226618527452285</v>
      </c>
      <c r="AU23" s="80">
        <f t="shared" si="31"/>
        <v>96.375616289061028</v>
      </c>
      <c r="AV23" s="80">
        <f t="shared" si="32"/>
        <v>93.834926859686291</v>
      </c>
      <c r="AW23" s="23">
        <f t="shared" si="33"/>
        <v>6.5027604313762591E-5</v>
      </c>
      <c r="AX23" s="23">
        <f t="shared" si="34"/>
        <v>1.7145533361582195E-7</v>
      </c>
      <c r="AY23" s="23">
        <f t="shared" si="35"/>
        <v>3.8472320012471383E-7</v>
      </c>
      <c r="AZ23" s="26">
        <f t="shared" si="36"/>
        <v>3.4568787055108428E-2</v>
      </c>
      <c r="BA23" s="28">
        <f t="shared" si="37"/>
        <v>1.2290217215301129</v>
      </c>
      <c r="BB23" s="29">
        <f t="shared" si="38"/>
        <v>8.7956586144916655E-3</v>
      </c>
      <c r="BC23" s="29">
        <f t="shared" si="39"/>
        <v>0.34917477643319028</v>
      </c>
      <c r="BD23" s="29">
        <f t="shared" si="40"/>
        <v>2.6272278161882405</v>
      </c>
      <c r="BE23" s="23">
        <f t="shared" si="172"/>
        <v>1.5869921565777949</v>
      </c>
      <c r="BF23" s="83">
        <f t="shared" si="173"/>
        <v>4.2142199727660357</v>
      </c>
      <c r="BG23" s="84">
        <f>'Health - Mortality'!AE21-'Health - Mortality'!P21</f>
        <v>98.344634174018125</v>
      </c>
      <c r="BH23" s="80">
        <f t="shared" si="41"/>
        <v>16.356385916646619</v>
      </c>
      <c r="BI23" s="80">
        <f t="shared" si="42"/>
        <v>81.988248257371509</v>
      </c>
      <c r="BJ23" s="80">
        <f t="shared" si="43"/>
        <v>79.826843913603923</v>
      </c>
      <c r="BK23" s="23">
        <f t="shared" si="44"/>
        <v>5.5320002832127516E-5</v>
      </c>
      <c r="BL23" s="23">
        <f t="shared" si="45"/>
        <v>1.4585974127918515E-7</v>
      </c>
      <c r="BM23" s="23">
        <f t="shared" si="46"/>
        <v>3.2729006004577612E-7</v>
      </c>
      <c r="BN23" s="26">
        <f t="shared" si="47"/>
        <v>2.9408209297771683E-2</v>
      </c>
      <c r="BO23" s="28">
        <f t="shared" si="48"/>
        <v>1.0455480535272101</v>
      </c>
      <c r="BP23" s="29">
        <f t="shared" si="49"/>
        <v>7.4826047276221981E-3</v>
      </c>
      <c r="BQ23" s="29">
        <f t="shared" si="50"/>
        <v>0.29704845849754641</v>
      </c>
      <c r="BR23" s="29">
        <f t="shared" si="51"/>
        <v>2.2350239066306479</v>
      </c>
      <c r="BS23" s="23">
        <f t="shared" si="174"/>
        <v>1.3500791167523787</v>
      </c>
      <c r="BT23" s="83">
        <f t="shared" si="175"/>
        <v>3.5851030233830263</v>
      </c>
      <c r="BU23" s="84">
        <f>'Health - Mortality'!AF21-'Health - Mortality'!Q21</f>
        <v>50.798929940132098</v>
      </c>
      <c r="BV23" s="80">
        <f t="shared" si="52"/>
        <v>8.4487263512848436</v>
      </c>
      <c r="BW23" s="80">
        <f t="shared" si="53"/>
        <v>42.350203588847251</v>
      </c>
      <c r="BX23" s="80">
        <f t="shared" si="54"/>
        <v>41.23375195166831</v>
      </c>
      <c r="BY23" s="23">
        <f t="shared" si="55"/>
        <v>2.8574990102506138E-5</v>
      </c>
      <c r="BZ23" s="23">
        <f t="shared" si="56"/>
        <v>7.5342379790809758E-8</v>
      </c>
      <c r="CA23" s="23">
        <f t="shared" si="57"/>
        <v>1.6905838300184009E-7</v>
      </c>
      <c r="CB23" s="26">
        <f t="shared" si="58"/>
        <v>1.5190514218994604E-2</v>
      </c>
      <c r="CC23" s="28">
        <f t="shared" si="59"/>
        <v>0.54006731293736598</v>
      </c>
      <c r="CD23" s="29">
        <f t="shared" si="60"/>
        <v>3.8650640832685406E-3</v>
      </c>
      <c r="CE23" s="29">
        <f t="shared" si="61"/>
        <v>0.15343738841247007</v>
      </c>
      <c r="CF23" s="29">
        <f t="shared" si="62"/>
        <v>1.1544790806435898</v>
      </c>
      <c r="CG23" s="23">
        <f t="shared" si="176"/>
        <v>0.69736976543310458</v>
      </c>
      <c r="CH23" s="83">
        <f t="shared" si="177"/>
        <v>1.8518488460766944</v>
      </c>
      <c r="CI23" s="84">
        <f>'Health - Mortality'!AG21-'Health - Mortality'!R21</f>
        <v>2240.6372917664448</v>
      </c>
      <c r="CJ23" s="80">
        <f t="shared" si="63"/>
        <v>372.6561042315027</v>
      </c>
      <c r="CK23" s="80">
        <f t="shared" si="64"/>
        <v>1867.9811875349421</v>
      </c>
      <c r="CL23" s="80">
        <f t="shared" si="65"/>
        <v>1818.736780700684</v>
      </c>
      <c r="CM23" s="23">
        <f t="shared" si="66"/>
        <v>1.2603845890255738E-3</v>
      </c>
      <c r="CN23" s="23">
        <f t="shared" si="67"/>
        <v>3.3231988549497366E-6</v>
      </c>
      <c r="CO23" s="23">
        <f t="shared" si="68"/>
        <v>7.4568208008728052E-6</v>
      </c>
      <c r="CP23" s="26">
        <f t="shared" si="69"/>
        <v>0.67002263001013196</v>
      </c>
      <c r="CQ23" s="28">
        <f t="shared" si="70"/>
        <v>23.821268732583345</v>
      </c>
      <c r="CR23" s="29">
        <f t="shared" si="71"/>
        <v>0.17048010125892149</v>
      </c>
      <c r="CS23" s="29">
        <f t="shared" si="72"/>
        <v>6.7678105588721582</v>
      </c>
      <c r="CT23" s="29">
        <f t="shared" si="73"/>
        <v>50.921719880770027</v>
      </c>
      <c r="CU23" s="23">
        <f t="shared" si="178"/>
        <v>30.759559392714422</v>
      </c>
      <c r="CV23" s="83">
        <f t="shared" si="179"/>
        <v>81.681279273484449</v>
      </c>
      <c r="CW23" s="84">
        <f>'Health - Mortality'!AH21-'Health - Mortality'!S21</f>
        <v>818.24415492051889</v>
      </c>
      <c r="CX23" s="80">
        <f t="shared" si="74"/>
        <v>136.08792471827823</v>
      </c>
      <c r="CY23" s="80">
        <f t="shared" si="75"/>
        <v>682.15623020224064</v>
      </c>
      <c r="CZ23" s="80">
        <f t="shared" si="76"/>
        <v>664.17297686502002</v>
      </c>
      <c r="DA23" s="23">
        <f t="shared" si="77"/>
        <v>4.6027187296745884E-4</v>
      </c>
      <c r="DB23" s="23">
        <f t="shared" si="78"/>
        <v>1.2135779622579897E-6</v>
      </c>
      <c r="DC23" s="23">
        <f t="shared" si="79"/>
        <v>2.7231092051465825E-6</v>
      </c>
      <c r="DD23" s="26">
        <f t="shared" si="80"/>
        <v>0.24468132467707338</v>
      </c>
      <c r="DE23" s="28">
        <f t="shared" si="81"/>
        <v>8.6991383990849727</v>
      </c>
      <c r="DF23" s="29">
        <f t="shared" si="82"/>
        <v>6.2256549463834875E-2</v>
      </c>
      <c r="DG23" s="29">
        <f t="shared" si="83"/>
        <v>2.4714939145910382</v>
      </c>
      <c r="DH23" s="29">
        <f t="shared" si="84"/>
        <v>18.595780675457576</v>
      </c>
      <c r="DI23" s="23">
        <f t="shared" si="180"/>
        <v>11.232888863139845</v>
      </c>
      <c r="DJ23" s="83">
        <f t="shared" si="181"/>
        <v>29.828669538597421</v>
      </c>
      <c r="DK23" s="84">
        <f>'Health - Mortality'!AI21-'Health - Mortality'!T21</f>
        <v>319.5300524044261</v>
      </c>
      <c r="DL23" s="80">
        <f t="shared" si="85"/>
        <v>53.143284257331381</v>
      </c>
      <c r="DM23" s="80">
        <f t="shared" si="86"/>
        <v>266.3867681470947</v>
      </c>
      <c r="DN23" s="80">
        <f t="shared" si="87"/>
        <v>259.36418222736722</v>
      </c>
      <c r="DO23" s="23">
        <f t="shared" si="88"/>
        <v>1.7973937828356549E-4</v>
      </c>
      <c r="DP23" s="23">
        <f t="shared" si="89"/>
        <v>4.7391066290576691E-7</v>
      </c>
      <c r="DQ23" s="23">
        <f t="shared" si="90"/>
        <v>1.0633931471322058E-6</v>
      </c>
      <c r="DR23" s="26">
        <f t="shared" si="91"/>
        <v>9.5549764732562076E-2</v>
      </c>
      <c r="DS23" s="28">
        <f t="shared" si="92"/>
        <v>3.3970742495593877</v>
      </c>
      <c r="DT23" s="29">
        <f t="shared" si="93"/>
        <v>2.4311617007065842E-2</v>
      </c>
      <c r="DU23" s="29">
        <f t="shared" si="94"/>
        <v>0.96513562033719003</v>
      </c>
      <c r="DV23" s="29">
        <f t="shared" si="95"/>
        <v>7.2617821196747174</v>
      </c>
      <c r="DW23" s="23">
        <f t="shared" si="182"/>
        <v>4.3865214869036437</v>
      </c>
      <c r="DX23" s="83">
        <f t="shared" si="183"/>
        <v>11.648303606578361</v>
      </c>
      <c r="DY23" s="84">
        <f>'Health - Mortality'!AJ21-'Health - Mortality'!U21</f>
        <v>528.06256962499356</v>
      </c>
      <c r="DZ23" s="80">
        <f t="shared" si="96"/>
        <v>87.825789881318698</v>
      </c>
      <c r="EA23" s="80">
        <f t="shared" si="97"/>
        <v>440.23677974367484</v>
      </c>
      <c r="EB23" s="80">
        <f t="shared" si="98"/>
        <v>428.6310959017996</v>
      </c>
      <c r="EC23" s="23">
        <f t="shared" si="99"/>
        <v>2.970413494599471E-4</v>
      </c>
      <c r="ED23" s="23">
        <f t="shared" si="100"/>
        <v>7.831954476380791E-7</v>
      </c>
      <c r="EE23" s="23">
        <f t="shared" si="101"/>
        <v>1.7573874931973785E-6</v>
      </c>
      <c r="EF23" s="26">
        <f t="shared" si="102"/>
        <v>0.15790769573022298</v>
      </c>
      <c r="EG23" s="28">
        <f t="shared" si="103"/>
        <v>5.6140815047929999</v>
      </c>
      <c r="EH23" s="29">
        <f t="shared" si="104"/>
        <v>4.017792646383346E-2</v>
      </c>
      <c r="EI23" s="29">
        <f t="shared" si="105"/>
        <v>1.5950048888259407</v>
      </c>
      <c r="EJ23" s="29">
        <f t="shared" si="106"/>
        <v>12.000984875496947</v>
      </c>
      <c r="EK23" s="23">
        <f t="shared" si="184"/>
        <v>7.2492643200827747</v>
      </c>
      <c r="EL23" s="83">
        <f t="shared" si="185"/>
        <v>19.25024919557972</v>
      </c>
      <c r="EM23" s="84">
        <f>'Health - Mortality'!AK21-'Health - Mortality'!V21</f>
        <v>76.344425136485711</v>
      </c>
      <c r="EN23" s="80">
        <f t="shared" si="107"/>
        <v>12.69737683814374</v>
      </c>
      <c r="EO23" s="80">
        <f t="shared" si="108"/>
        <v>63.647048298341971</v>
      </c>
      <c r="EP23" s="80">
        <f t="shared" si="109"/>
        <v>61.969161411087327</v>
      </c>
      <c r="EQ23" s="23">
        <f t="shared" si="110"/>
        <v>4.2944628857883513E-5</v>
      </c>
      <c r="ER23" s="23">
        <f t="shared" si="111"/>
        <v>1.1323015426354454E-7</v>
      </c>
      <c r="ES23" s="23">
        <f t="shared" si="112"/>
        <v>2.540735617854581E-7</v>
      </c>
      <c r="ET23" s="26">
        <f t="shared" si="113"/>
        <v>2.2829439063844569E-2</v>
      </c>
      <c r="EU23" s="28">
        <f t="shared" si="114"/>
        <v>0.8116534854139984</v>
      </c>
      <c r="EV23" s="29">
        <f t="shared" si="115"/>
        <v>5.8087069137198345E-3</v>
      </c>
      <c r="EW23" s="29">
        <f t="shared" si="116"/>
        <v>0.23059716467648178</v>
      </c>
      <c r="EX23" s="29">
        <f t="shared" si="117"/>
        <v>1.7350373688521872</v>
      </c>
      <c r="EY23" s="23">
        <f t="shared" si="186"/>
        <v>1.0480593570042001</v>
      </c>
      <c r="EZ23" s="83">
        <f t="shared" si="187"/>
        <v>2.783096725856387</v>
      </c>
      <c r="FA23" s="84">
        <f>'Health - Mortality'!AL21-'Health - Mortality'!W21</f>
        <v>362.25637224714535</v>
      </c>
      <c r="FB23" s="80">
        <f t="shared" si="118"/>
        <v>60.249398200558822</v>
      </c>
      <c r="FC23" s="80">
        <f t="shared" si="119"/>
        <v>302.00697404658655</v>
      </c>
      <c r="FD23" s="80">
        <f t="shared" si="120"/>
        <v>294.04535516306919</v>
      </c>
      <c r="FE23" s="23">
        <f t="shared" si="121"/>
        <v>2.0377343112800694E-4</v>
      </c>
      <c r="FF23" s="23">
        <f t="shared" si="122"/>
        <v>5.3728015947680813E-7</v>
      </c>
      <c r="FG23" s="23">
        <f t="shared" si="123"/>
        <v>1.2055859561685837E-6</v>
      </c>
      <c r="FH23" s="26">
        <f t="shared" si="124"/>
        <v>0.10832630884207468</v>
      </c>
      <c r="FI23" s="28">
        <f t="shared" si="125"/>
        <v>3.8513178483193311</v>
      </c>
      <c r="FJ23" s="29">
        <f t="shared" si="126"/>
        <v>2.7562472181160258E-2</v>
      </c>
      <c r="FK23" s="29">
        <f t="shared" si="127"/>
        <v>1.0941898138186066</v>
      </c>
      <c r="FL23" s="29">
        <f t="shared" si="128"/>
        <v>8.2327994719976765</v>
      </c>
      <c r="FM23" s="23">
        <f t="shared" si="188"/>
        <v>4.9730701343190979</v>
      </c>
      <c r="FN23" s="83">
        <f t="shared" si="189"/>
        <v>13.205869606316774</v>
      </c>
      <c r="FO23" s="84">
        <f>'Health - Mortality'!AM21-'Health - Mortality'!X21</f>
        <v>215.83658235469045</v>
      </c>
      <c r="FP23" s="80">
        <f t="shared" si="129"/>
        <v>35.897295928485704</v>
      </c>
      <c r="FQ23" s="80">
        <f t="shared" si="130"/>
        <v>179.93928642620475</v>
      </c>
      <c r="FR23" s="80">
        <f t="shared" si="131"/>
        <v>175.19566080225965</v>
      </c>
      <c r="FS23" s="23">
        <f t="shared" si="132"/>
        <v>1.2141059293596594E-4</v>
      </c>
      <c r="FT23" s="23">
        <f t="shared" si="133"/>
        <v>3.2011780129389052E-7</v>
      </c>
      <c r="FU23" s="23">
        <f t="shared" si="134"/>
        <v>7.1830220928926454E-7</v>
      </c>
      <c r="FV23" s="26">
        <f t="shared" si="135"/>
        <v>6.4542081439552451E-2</v>
      </c>
      <c r="FW23" s="28">
        <f t="shared" si="136"/>
        <v>2.2946602064897563</v>
      </c>
      <c r="FX23" s="29">
        <f t="shared" si="137"/>
        <v>1.6422043206376583E-2</v>
      </c>
      <c r="FY23" s="29">
        <f t="shared" si="138"/>
        <v>0.65193108515093645</v>
      </c>
      <c r="FZ23" s="29">
        <f t="shared" si="139"/>
        <v>4.9051981894059864</v>
      </c>
      <c r="GA23" s="23">
        <f t="shared" si="190"/>
        <v>2.9630133348470693</v>
      </c>
      <c r="GB23" s="83">
        <f t="shared" si="191"/>
        <v>7.8682115242530557</v>
      </c>
      <c r="GC23" s="84">
        <f>'Health - Mortality'!AN21-'Health - Mortality'!Y21</f>
        <v>659.55729285468624</v>
      </c>
      <c r="GD23" s="80">
        <f t="shared" si="140"/>
        <v>109.69559962957346</v>
      </c>
      <c r="GE23" s="80">
        <f t="shared" si="141"/>
        <v>549.86169322511273</v>
      </c>
      <c r="GF23" s="80">
        <f t="shared" si="142"/>
        <v>535.3660371101364</v>
      </c>
      <c r="GG23" s="23">
        <f t="shared" si="143"/>
        <v>3.7100866371732452E-4</v>
      </c>
      <c r="GH23" s="23">
        <f t="shared" si="144"/>
        <v>9.7822170881591739E-7</v>
      </c>
      <c r="GI23" s="23">
        <f t="shared" si="145"/>
        <v>2.1950007521515595E-6</v>
      </c>
      <c r="GJ23" s="26">
        <f t="shared" si="146"/>
        <v>0.19722884807137422</v>
      </c>
      <c r="GK23" s="28">
        <f t="shared" si="147"/>
        <v>7.012063744257433</v>
      </c>
      <c r="GL23" s="29">
        <f t="shared" si="148"/>
        <v>5.0182773662256562E-2</v>
      </c>
      <c r="GM23" s="29">
        <f t="shared" si="149"/>
        <v>1.9921826826527553</v>
      </c>
      <c r="GN23" s="29">
        <f t="shared" si="150"/>
        <v>14.989392453424442</v>
      </c>
      <c r="GO23" s="23">
        <f t="shared" si="192"/>
        <v>9.0544292005724447</v>
      </c>
      <c r="GP23" s="83">
        <f t="shared" si="193"/>
        <v>24.043821653996886</v>
      </c>
      <c r="GQ23" s="84">
        <f>'Health - Mortality'!AO21-'Health - Mortality'!Z21</f>
        <v>693.5842483003064</v>
      </c>
      <c r="GR23" s="80">
        <f t="shared" si="151"/>
        <v>115.35486126099394</v>
      </c>
      <c r="GS23" s="80">
        <f t="shared" si="152"/>
        <v>578.22938703931243</v>
      </c>
      <c r="GT23" s="80">
        <f t="shared" si="153"/>
        <v>562.98589135054499</v>
      </c>
      <c r="GU23" s="23">
        <f t="shared" si="154"/>
        <v>3.901492227059276E-4</v>
      </c>
      <c r="GV23" s="23">
        <f t="shared" si="155"/>
        <v>1.028688752183371E-6</v>
      </c>
      <c r="GW23" s="23">
        <f t="shared" si="156"/>
        <v>2.3082421545372345E-6</v>
      </c>
      <c r="GX23" s="26">
        <f t="shared" si="157"/>
        <v>0.20740400237354079</v>
      </c>
      <c r="GY23" s="28">
        <f t="shared" si="158"/>
        <v>7.3738203091420313</v>
      </c>
      <c r="GZ23" s="29">
        <f t="shared" si="159"/>
        <v>5.2771732987006936E-2</v>
      </c>
      <c r="HA23" s="29">
        <f t="shared" si="160"/>
        <v>2.094960579457994</v>
      </c>
      <c r="HB23" s="29">
        <f t="shared" si="161"/>
        <v>15.7627041803891</v>
      </c>
      <c r="HC23" s="23">
        <f t="shared" si="194"/>
        <v>9.5215526215870323</v>
      </c>
      <c r="HD23" s="83">
        <f t="shared" si="195"/>
        <v>25.284256801976134</v>
      </c>
    </row>
    <row r="24" spans="2:212" x14ac:dyDescent="0.3">
      <c r="B24" s="6">
        <v>2041</v>
      </c>
      <c r="C24" s="84">
        <f>'Health - Mortality'!AA22-'Health - Mortality'!L22</f>
        <v>2514.6577677355663</v>
      </c>
      <c r="D24" s="80">
        <f t="shared" si="0"/>
        <v>418.2303716194254</v>
      </c>
      <c r="E24" s="80">
        <f t="shared" si="1"/>
        <v>2096.4273961161407</v>
      </c>
      <c r="F24" s="80">
        <f t="shared" si="2"/>
        <v>2041.1606063423831</v>
      </c>
      <c r="G24" s="95">
        <f t="shared" si="3"/>
        <v>1.4145243001952713E-3</v>
      </c>
      <c r="H24" s="95">
        <f t="shared" si="4"/>
        <v>3.7296120371812339E-6</v>
      </c>
      <c r="I24" s="95">
        <f t="shared" si="5"/>
        <v>8.3687584860037716E-6</v>
      </c>
      <c r="J24" s="118">
        <f t="shared" si="6"/>
        <v>0.75196356737653391</v>
      </c>
      <c r="K24" s="28">
        <f t="shared" si="163"/>
        <v>26.734509273690627</v>
      </c>
      <c r="L24" s="29">
        <f t="shared" si="164"/>
        <v>0.19132909750739729</v>
      </c>
      <c r="M24" s="29">
        <f t="shared" si="165"/>
        <v>7.5954852018970227</v>
      </c>
      <c r="N24" s="29">
        <f t="shared" si="166"/>
        <v>58.653158255369647</v>
      </c>
      <c r="O24" s="23">
        <f t="shared" si="162"/>
        <v>34.521323573095046</v>
      </c>
      <c r="P24" s="83">
        <f t="shared" si="167"/>
        <v>93.174481828464693</v>
      </c>
      <c r="Q24" s="84">
        <f>'Health - Mortality'!AB22-'Health - Mortality'!M22</f>
        <v>458.26682683144054</v>
      </c>
      <c r="R24" s="80">
        <f t="shared" si="8"/>
        <v>76.21757033727809</v>
      </c>
      <c r="S24" s="80">
        <f t="shared" si="9"/>
        <v>382.04925649416242</v>
      </c>
      <c r="T24" s="80">
        <f t="shared" si="10"/>
        <v>371.97753353299504</v>
      </c>
      <c r="U24" s="23">
        <f t="shared" si="11"/>
        <v>2.5778043073836559E-4</v>
      </c>
      <c r="V24" s="23">
        <f t="shared" si="12"/>
        <v>6.7967796473970078E-7</v>
      </c>
      <c r="W24" s="23">
        <f t="shared" si="13"/>
        <v>1.5251078874852797E-6</v>
      </c>
      <c r="X24" s="26">
        <f t="shared" si="14"/>
        <v>0.13703652335355535</v>
      </c>
      <c r="Y24" s="28">
        <f t="shared" si="15"/>
        <v>4.8720501409551096</v>
      </c>
      <c r="Z24" s="29">
        <f t="shared" si="16"/>
        <v>3.4867479591146652E-2</v>
      </c>
      <c r="AA24" s="29">
        <f t="shared" si="17"/>
        <v>1.3841879186816399</v>
      </c>
      <c r="AB24" s="29">
        <f t="shared" si="18"/>
        <v>10.688848821577317</v>
      </c>
      <c r="AC24" s="23">
        <f t="shared" si="168"/>
        <v>6.2911055392278961</v>
      </c>
      <c r="AD24" s="83">
        <f t="shared" si="169"/>
        <v>16.979954360805213</v>
      </c>
      <c r="AE24" s="84">
        <f>'Health - Mortality'!AC22-'Health - Mortality'!N22</f>
        <v>348.25303081651487</v>
      </c>
      <c r="AF24" s="80">
        <f t="shared" si="19"/>
        <v>57.920404265244862</v>
      </c>
      <c r="AG24" s="80">
        <f t="shared" si="20"/>
        <v>290.33262655126998</v>
      </c>
      <c r="AH24" s="80">
        <f t="shared" si="21"/>
        <v>282.67877110853038</v>
      </c>
      <c r="AI24" s="23">
        <f t="shared" si="22"/>
        <v>1.9589638837821155E-4</v>
      </c>
      <c r="AJ24" s="23">
        <f t="shared" si="23"/>
        <v>5.1651111828538249E-7</v>
      </c>
      <c r="AK24" s="23">
        <f t="shared" si="24"/>
        <v>1.1589829615449746E-6</v>
      </c>
      <c r="AL24" s="26">
        <f t="shared" si="25"/>
        <v>0.10413885927638258</v>
      </c>
      <c r="AM24" s="28">
        <f t="shared" si="26"/>
        <v>3.7024417403481982</v>
      </c>
      <c r="AN24" s="29">
        <f t="shared" si="27"/>
        <v>2.6497020368040122E-2</v>
      </c>
      <c r="AO24" s="29">
        <f t="shared" si="28"/>
        <v>1.051892935898219</v>
      </c>
      <c r="AP24" s="29">
        <f t="shared" si="29"/>
        <v>8.1228310235578416</v>
      </c>
      <c r="AQ24" s="23">
        <f t="shared" si="170"/>
        <v>4.7808316966144577</v>
      </c>
      <c r="AR24" s="83">
        <f t="shared" si="171"/>
        <v>12.903662720172299</v>
      </c>
      <c r="AS24" s="84">
        <f>'Health - Mortality'!AD22-'Health - Mortality'!O22</f>
        <v>128.26489353228115</v>
      </c>
      <c r="AT24" s="80">
        <f t="shared" si="30"/>
        <v>21.332634116664835</v>
      </c>
      <c r="AU24" s="80">
        <f t="shared" si="31"/>
        <v>106.93225941561631</v>
      </c>
      <c r="AV24" s="80">
        <f t="shared" si="32"/>
        <v>104.11327187896022</v>
      </c>
      <c r="AW24" s="23">
        <f t="shared" si="33"/>
        <v>7.215049741211942E-5</v>
      </c>
      <c r="AX24" s="23">
        <f t="shared" si="34"/>
        <v>1.9023594264142826E-7</v>
      </c>
      <c r="AY24" s="23">
        <f t="shared" si="35"/>
        <v>4.2686441470373691E-7</v>
      </c>
      <c r="AZ24" s="26">
        <f t="shared" si="36"/>
        <v>3.835532936020894E-2</v>
      </c>
      <c r="BA24" s="28">
        <f t="shared" si="37"/>
        <v>1.3636444010890569</v>
      </c>
      <c r="BB24" s="29">
        <f t="shared" si="38"/>
        <v>9.7591038575052698E-3</v>
      </c>
      <c r="BC24" s="29">
        <f t="shared" si="39"/>
        <v>0.38742214278511161</v>
      </c>
      <c r="BD24" s="29">
        <f t="shared" si="40"/>
        <v>2.9917156900962971</v>
      </c>
      <c r="BE24" s="23">
        <f t="shared" si="172"/>
        <v>1.7608256477316739</v>
      </c>
      <c r="BF24" s="83">
        <f t="shared" si="173"/>
        <v>4.7525413378279708</v>
      </c>
      <c r="BG24" s="84">
        <f>'Health - Mortality'!AE22-'Health - Mortality'!P22</f>
        <v>109.11695653482028</v>
      </c>
      <c r="BH24" s="80">
        <f t="shared" si="41"/>
        <v>18.148006407501537</v>
      </c>
      <c r="BI24" s="80">
        <f t="shared" si="42"/>
        <v>90.968950127318735</v>
      </c>
      <c r="BJ24" s="80">
        <f t="shared" si="43"/>
        <v>88.570793219075654</v>
      </c>
      <c r="BK24" s="23">
        <f t="shared" si="44"/>
        <v>6.137955970081942E-5</v>
      </c>
      <c r="BL24" s="23">
        <f t="shared" si="45"/>
        <v>1.6183669991774494E-7</v>
      </c>
      <c r="BM24" s="23">
        <f t="shared" si="46"/>
        <v>3.6314025219821023E-7</v>
      </c>
      <c r="BN24" s="26">
        <f t="shared" si="47"/>
        <v>3.2629480221907467E-2</v>
      </c>
      <c r="BO24" s="28">
        <f t="shared" si="48"/>
        <v>1.160073678345487</v>
      </c>
      <c r="BP24" s="29">
        <f t="shared" si="49"/>
        <v>8.3022227057803159E-3</v>
      </c>
      <c r="BQ24" s="29">
        <f t="shared" si="50"/>
        <v>0.32958609289509561</v>
      </c>
      <c r="BR24" s="29">
        <f t="shared" si="51"/>
        <v>2.5450994573087824</v>
      </c>
      <c r="BS24" s="23">
        <f t="shared" si="174"/>
        <v>1.4979619939463629</v>
      </c>
      <c r="BT24" s="83">
        <f t="shared" si="175"/>
        <v>4.043061451255145</v>
      </c>
      <c r="BU24" s="84">
        <f>'Health - Mortality'!AF22-'Health - Mortality'!Q22</f>
        <v>56.363264522236619</v>
      </c>
      <c r="BV24" s="80">
        <f t="shared" si="52"/>
        <v>9.3741698648902752</v>
      </c>
      <c r="BW24" s="80">
        <f t="shared" si="53"/>
        <v>46.989094657346342</v>
      </c>
      <c r="BX24" s="80">
        <f t="shared" si="54"/>
        <v>45.750350868318456</v>
      </c>
      <c r="BY24" s="23">
        <f t="shared" si="55"/>
        <v>3.1704993151744688E-5</v>
      </c>
      <c r="BZ24" s="23">
        <f t="shared" si="56"/>
        <v>8.359511680440686E-8</v>
      </c>
      <c r="CA24" s="23">
        <f t="shared" si="57"/>
        <v>1.8757643856010568E-7</v>
      </c>
      <c r="CB24" s="26">
        <f t="shared" si="58"/>
        <v>1.6854429259888518E-2</v>
      </c>
      <c r="CC24" s="28">
        <f t="shared" si="59"/>
        <v>0.59922437056797462</v>
      </c>
      <c r="CD24" s="29">
        <f t="shared" si="60"/>
        <v>4.2884294920660718E-3</v>
      </c>
      <c r="CE24" s="29">
        <f t="shared" si="61"/>
        <v>0.17024437563715192</v>
      </c>
      <c r="CF24" s="29">
        <f t="shared" si="62"/>
        <v>1.3146454822713043</v>
      </c>
      <c r="CG24" s="23">
        <f t="shared" si="176"/>
        <v>0.7737571756971926</v>
      </c>
      <c r="CH24" s="83">
        <f t="shared" si="177"/>
        <v>2.0884026579684969</v>
      </c>
      <c r="CI24" s="84">
        <f>'Health - Mortality'!AG22-'Health - Mortality'!R22</f>
        <v>2486.0687522956814</v>
      </c>
      <c r="CJ24" s="80">
        <f t="shared" si="63"/>
        <v>413.47553193305981</v>
      </c>
      <c r="CK24" s="80">
        <f t="shared" si="64"/>
        <v>2072.5932203626217</v>
      </c>
      <c r="CL24" s="80">
        <f t="shared" si="65"/>
        <v>2017.9547558927788</v>
      </c>
      <c r="CM24" s="23">
        <f t="shared" si="66"/>
        <v>1.3984426458336957E-3</v>
      </c>
      <c r="CN24" s="23">
        <f t="shared" si="67"/>
        <v>3.6872102688436796E-6</v>
      </c>
      <c r="CO24" s="23">
        <f t="shared" si="68"/>
        <v>8.2736144991603934E-6</v>
      </c>
      <c r="CP24" s="26">
        <f t="shared" si="69"/>
        <v>0.74341453207089969</v>
      </c>
      <c r="CQ24" s="28">
        <f t="shared" si="70"/>
        <v>26.43056600625685</v>
      </c>
      <c r="CR24" s="29">
        <f t="shared" si="71"/>
        <v>0.18915388679168077</v>
      </c>
      <c r="CS24" s="29">
        <f t="shared" si="72"/>
        <v>7.5091325194379728</v>
      </c>
      <c r="CT24" s="29">
        <f t="shared" si="73"/>
        <v>57.986333501530176</v>
      </c>
      <c r="CU24" s="23">
        <f t="shared" si="178"/>
        <v>34.128852412486502</v>
      </c>
      <c r="CV24" s="83">
        <f t="shared" si="179"/>
        <v>92.115185914016678</v>
      </c>
      <c r="CW24" s="84">
        <f>'Health - Mortality'!AH22-'Health - Mortality'!S22</f>
        <v>907.87171702064438</v>
      </c>
      <c r="CX24" s="80">
        <f t="shared" si="74"/>
        <v>150.99451323518548</v>
      </c>
      <c r="CY24" s="80">
        <f t="shared" si="75"/>
        <v>756.87720378545896</v>
      </c>
      <c r="CZ24" s="80">
        <f t="shared" si="76"/>
        <v>736.92412867126438</v>
      </c>
      <c r="DA24" s="23">
        <f t="shared" si="77"/>
        <v>5.1068842116918625E-4</v>
      </c>
      <c r="DB24" s="23">
        <f t="shared" si="78"/>
        <v>1.3465089872112778E-6</v>
      </c>
      <c r="DC24" s="23">
        <f t="shared" si="79"/>
        <v>3.0213889275521843E-6</v>
      </c>
      <c r="DD24" s="26">
        <f t="shared" si="80"/>
        <v>0.27148284900249375</v>
      </c>
      <c r="DE24" s="28">
        <f t="shared" si="81"/>
        <v>9.6520111600976204</v>
      </c>
      <c r="DF24" s="29">
        <f t="shared" si="82"/>
        <v>6.9075911043938551E-2</v>
      </c>
      <c r="DG24" s="29">
        <f t="shared" si="83"/>
        <v>2.7422125906463624</v>
      </c>
      <c r="DH24" s="29">
        <f t="shared" si="84"/>
        <v>21.175662222194514</v>
      </c>
      <c r="DI24" s="23">
        <f t="shared" si="180"/>
        <v>12.463299661787921</v>
      </c>
      <c r="DJ24" s="83">
        <f t="shared" si="181"/>
        <v>33.638961883982432</v>
      </c>
      <c r="DK24" s="84">
        <f>'Health - Mortality'!AI22-'Health - Mortality'!T22</f>
        <v>354.5302408475884</v>
      </c>
      <c r="DL24" s="80">
        <f t="shared" si="85"/>
        <v>58.964411095006497</v>
      </c>
      <c r="DM24" s="80">
        <f t="shared" si="86"/>
        <v>295.56582975258192</v>
      </c>
      <c r="DN24" s="80">
        <f t="shared" si="87"/>
        <v>287.77401468304765</v>
      </c>
      <c r="DO24" s="23">
        <f t="shared" si="88"/>
        <v>1.9942739217535199E-4</v>
      </c>
      <c r="DP24" s="23">
        <f t="shared" si="89"/>
        <v>5.2582115577525092E-7</v>
      </c>
      <c r="DQ24" s="23">
        <f t="shared" si="90"/>
        <v>1.1798734602004954E-6</v>
      </c>
      <c r="DR24" s="26">
        <f t="shared" si="91"/>
        <v>0.10601594700923475</v>
      </c>
      <c r="DS24" s="28">
        <f t="shared" si="92"/>
        <v>3.7691777121141525</v>
      </c>
      <c r="DT24" s="29">
        <f t="shared" si="93"/>
        <v>2.6974625291270371E-2</v>
      </c>
      <c r="DU24" s="29">
        <f t="shared" si="94"/>
        <v>1.0708531524779696</v>
      </c>
      <c r="DV24" s="29">
        <f t="shared" si="95"/>
        <v>8.269243866720311</v>
      </c>
      <c r="DW24" s="23">
        <f t="shared" si="182"/>
        <v>4.8670054898833923</v>
      </c>
      <c r="DX24" s="83">
        <f t="shared" si="183"/>
        <v>13.136249356603702</v>
      </c>
      <c r="DY24" s="84">
        <f>'Health - Mortality'!AJ22-'Health - Mortality'!U22</f>
        <v>585.90467025865269</v>
      </c>
      <c r="DZ24" s="80">
        <f t="shared" si="96"/>
        <v>97.445915352725322</v>
      </c>
      <c r="EA24" s="80">
        <f t="shared" si="97"/>
        <v>488.45875490592738</v>
      </c>
      <c r="EB24" s="80">
        <f t="shared" si="98"/>
        <v>475.58182562588195</v>
      </c>
      <c r="EC24" s="23">
        <f t="shared" si="99"/>
        <v>3.2957820515873616E-4</v>
      </c>
      <c r="ED24" s="23">
        <f t="shared" si="100"/>
        <v>8.6898389867386584E-7</v>
      </c>
      <c r="EE24" s="23">
        <f t="shared" si="101"/>
        <v>1.9498854850661164E-6</v>
      </c>
      <c r="EF24" s="26">
        <f t="shared" si="102"/>
        <v>0.17520434456057488</v>
      </c>
      <c r="EG24" s="28">
        <f t="shared" si="103"/>
        <v>6.2290280775001134</v>
      </c>
      <c r="EH24" s="29">
        <f t="shared" si="104"/>
        <v>4.4578874001969318E-2</v>
      </c>
      <c r="EI24" s="29">
        <f t="shared" si="105"/>
        <v>1.7697160662460072</v>
      </c>
      <c r="EJ24" s="29">
        <f t="shared" si="106"/>
        <v>13.665938875724841</v>
      </c>
      <c r="EK24" s="23">
        <f t="shared" si="184"/>
        <v>8.0433230177480901</v>
      </c>
      <c r="EL24" s="83">
        <f t="shared" si="185"/>
        <v>21.709261893472931</v>
      </c>
      <c r="EM24" s="84">
        <f>'Health - Mortality'!AK22-'Health - Mortality'!V22</f>
        <v>84.706922642604098</v>
      </c>
      <c r="EN24" s="80">
        <f t="shared" si="107"/>
        <v>14.088202454466014</v>
      </c>
      <c r="EO24" s="80">
        <f t="shared" si="108"/>
        <v>70.618720188138084</v>
      </c>
      <c r="EP24" s="80">
        <f t="shared" si="109"/>
        <v>68.757043523370129</v>
      </c>
      <c r="EQ24" s="23">
        <f t="shared" si="110"/>
        <v>4.7648631161695501E-5</v>
      </c>
      <c r="ER24" s="23">
        <f t="shared" si="111"/>
        <v>1.2563298369023128E-7</v>
      </c>
      <c r="ES24" s="23">
        <f t="shared" si="112"/>
        <v>2.8190387844581757E-7</v>
      </c>
      <c r="ET24" s="26">
        <f t="shared" si="113"/>
        <v>2.5330094834009553E-2</v>
      </c>
      <c r="EU24" s="28">
        <f t="shared" si="114"/>
        <v>0.90055912895604495</v>
      </c>
      <c r="EV24" s="29">
        <f t="shared" si="115"/>
        <v>6.4449720633088644E-3</v>
      </c>
      <c r="EW24" s="29">
        <f t="shared" si="116"/>
        <v>0.25585596007742401</v>
      </c>
      <c r="EX24" s="29">
        <f t="shared" si="117"/>
        <v>1.975747397052745</v>
      </c>
      <c r="EY24" s="23">
        <f t="shared" si="186"/>
        <v>1.1628600610967779</v>
      </c>
      <c r="EZ24" s="83">
        <f t="shared" si="187"/>
        <v>3.1386074581495231</v>
      </c>
      <c r="FA24" s="84">
        <f>'Health - Mortality'!AL22-'Health - Mortality'!W22</f>
        <v>401.93665019902528</v>
      </c>
      <c r="FB24" s="80">
        <f t="shared" si="118"/>
        <v>66.848903551428492</v>
      </c>
      <c r="FC24" s="80">
        <f t="shared" si="119"/>
        <v>335.08774664759682</v>
      </c>
      <c r="FD24" s="80">
        <f t="shared" si="120"/>
        <v>326.25404027453385</v>
      </c>
      <c r="FE24" s="23">
        <f t="shared" si="121"/>
        <v>2.2609404991025196E-4</v>
      </c>
      <c r="FF24" s="23">
        <f t="shared" si="122"/>
        <v>5.9613192220446323E-7</v>
      </c>
      <c r="FG24" s="23">
        <f t="shared" si="123"/>
        <v>1.3376415651255887E-6</v>
      </c>
      <c r="FH24" s="26">
        <f t="shared" si="124"/>
        <v>0.12019198843713827</v>
      </c>
      <c r="FI24" s="28">
        <f t="shared" si="125"/>
        <v>4.2731775433037624</v>
      </c>
      <c r="FJ24" s="29">
        <f t="shared" si="126"/>
        <v>3.0581567609088964E-2</v>
      </c>
      <c r="FK24" s="29">
        <f t="shared" si="127"/>
        <v>1.2140434845079844</v>
      </c>
      <c r="FL24" s="29">
        <f t="shared" si="128"/>
        <v>9.374975098096785</v>
      </c>
      <c r="FM24" s="23">
        <f t="shared" si="188"/>
        <v>5.5178025954208358</v>
      </c>
      <c r="FN24" s="83">
        <f t="shared" si="189"/>
        <v>14.892777693517621</v>
      </c>
      <c r="FO24" s="84">
        <f>'Health - Mortality'!AM22-'Health - Mortality'!X22</f>
        <v>239.47855592962293</v>
      </c>
      <c r="FP24" s="80">
        <f t="shared" si="129"/>
        <v>39.829358382838905</v>
      </c>
      <c r="FQ24" s="80">
        <f t="shared" si="130"/>
        <v>199.64919754678402</v>
      </c>
      <c r="FR24" s="80">
        <f t="shared" si="131"/>
        <v>194.38597199947475</v>
      </c>
      <c r="FS24" s="23">
        <f t="shared" si="132"/>
        <v>1.34709478595636E-4</v>
      </c>
      <c r="FT24" s="23">
        <f t="shared" si="133"/>
        <v>3.5518236966543088E-7</v>
      </c>
      <c r="FU24" s="23">
        <f t="shared" si="134"/>
        <v>7.9698248519784651E-7</v>
      </c>
      <c r="FV24" s="26">
        <f t="shared" si="135"/>
        <v>7.1611792084606496E-2</v>
      </c>
      <c r="FW24" s="28">
        <f t="shared" si="136"/>
        <v>2.5460091454575204</v>
      </c>
      <c r="FX24" s="29">
        <f t="shared" si="137"/>
        <v>1.8220855563836603E-2</v>
      </c>
      <c r="FY24" s="29">
        <f t="shared" si="138"/>
        <v>0.72334130356556547</v>
      </c>
      <c r="FZ24" s="29">
        <f t="shared" si="139"/>
        <v>5.5857197825993063</v>
      </c>
      <c r="GA24" s="23">
        <f t="shared" si="190"/>
        <v>3.2875713045869226</v>
      </c>
      <c r="GB24" s="83">
        <f t="shared" si="191"/>
        <v>8.8732910871862281</v>
      </c>
      <c r="GC24" s="84">
        <f>'Health - Mortality'!AN22-'Health - Mortality'!Y22</f>
        <v>731.80285900806302</v>
      </c>
      <c r="GD24" s="80">
        <f t="shared" si="140"/>
        <v>121.71126648009334</v>
      </c>
      <c r="GE24" s="80">
        <f t="shared" si="141"/>
        <v>610.09159252796974</v>
      </c>
      <c r="GF24" s="80">
        <f t="shared" si="142"/>
        <v>594.00813366388206</v>
      </c>
      <c r="GG24" s="23">
        <f t="shared" si="143"/>
        <v>4.1164763662907022E-4</v>
      </c>
      <c r="GH24" s="23">
        <f t="shared" si="144"/>
        <v>1.0853726446672177E-6</v>
      </c>
      <c r="GI24" s="23">
        <f t="shared" si="145"/>
        <v>2.4354333480219168E-6</v>
      </c>
      <c r="GJ24" s="26">
        <f t="shared" si="146"/>
        <v>0.21883259644177414</v>
      </c>
      <c r="GK24" s="28">
        <f t="shared" si="147"/>
        <v>7.7801403322894274</v>
      </c>
      <c r="GL24" s="29">
        <f t="shared" si="148"/>
        <v>5.5679616671428268E-2</v>
      </c>
      <c r="GM24" s="29">
        <f t="shared" si="149"/>
        <v>2.2103993066646916</v>
      </c>
      <c r="GN24" s="29">
        <f t="shared" si="150"/>
        <v>17.068942522458382</v>
      </c>
      <c r="GO24" s="23">
        <f t="shared" si="192"/>
        <v>10.046219255625548</v>
      </c>
      <c r="GP24" s="83">
        <f t="shared" si="193"/>
        <v>27.11516177808393</v>
      </c>
      <c r="GQ24" s="84">
        <f>'Health - Mortality'!AO22-'Health - Mortality'!Z22</f>
        <v>769.55700644636772</v>
      </c>
      <c r="GR24" s="80">
        <f t="shared" si="151"/>
        <v>127.99042355502027</v>
      </c>
      <c r="GS24" s="80">
        <f t="shared" si="152"/>
        <v>641.56658289134748</v>
      </c>
      <c r="GT24" s="80">
        <f t="shared" si="153"/>
        <v>624.65336875943296</v>
      </c>
      <c r="GU24" s="23">
        <f t="shared" si="154"/>
        <v>4.3288478455028701E-4</v>
      </c>
      <c r="GV24" s="23">
        <f t="shared" si="155"/>
        <v>1.1413676689389352E-6</v>
      </c>
      <c r="GW24" s="23">
        <f t="shared" si="156"/>
        <v>2.5610788119136756E-6</v>
      </c>
      <c r="GX24" s="26">
        <f t="shared" si="157"/>
        <v>0.23012230105097511</v>
      </c>
      <c r="GY24" s="28">
        <f t="shared" si="158"/>
        <v>8.1815224280004237</v>
      </c>
      <c r="GZ24" s="29">
        <f t="shared" si="159"/>
        <v>5.8552161416567376E-2</v>
      </c>
      <c r="HA24" s="29">
        <f t="shared" si="160"/>
        <v>2.3244351296928518</v>
      </c>
      <c r="HB24" s="29">
        <f t="shared" si="161"/>
        <v>17.949539481976061</v>
      </c>
      <c r="HC24" s="23">
        <f t="shared" si="194"/>
        <v>10.564509719109843</v>
      </c>
      <c r="HD24" s="83">
        <f t="shared" si="195"/>
        <v>28.514049201085903</v>
      </c>
    </row>
    <row r="25" spans="2:212" x14ac:dyDescent="0.3">
      <c r="B25" s="6">
        <v>2042</v>
      </c>
      <c r="C25" s="84">
        <f>'Health - Mortality'!AA23-'Health - Mortality'!L23</f>
        <v>2773.8209995582774</v>
      </c>
      <c r="D25" s="80">
        <f t="shared" si="0"/>
        <v>461.3336265219437</v>
      </c>
      <c r="E25" s="80">
        <f t="shared" si="1"/>
        <v>2312.4873730363338</v>
      </c>
      <c r="F25" s="80">
        <f t="shared" si="2"/>
        <v>2251.5247307159561</v>
      </c>
      <c r="G25" s="95">
        <f t="shared" si="3"/>
        <v>1.5603066383861575E-3</v>
      </c>
      <c r="H25" s="95">
        <f t="shared" si="4"/>
        <v>4.1139897133018184E-6</v>
      </c>
      <c r="I25" s="95">
        <f t="shared" si="5"/>
        <v>9.2312513959354208E-6</v>
      </c>
      <c r="J25" s="118">
        <f t="shared" si="6"/>
        <v>0.82946171079575814</v>
      </c>
      <c r="K25" s="28">
        <f t="shared" si="163"/>
        <v>29.489795465498378</v>
      </c>
      <c r="L25" s="29">
        <f t="shared" si="164"/>
        <v>0.21104767229238328</v>
      </c>
      <c r="M25" s="29">
        <f t="shared" si="165"/>
        <v>8.3782837669509878</v>
      </c>
      <c r="N25" s="29">
        <f t="shared" si="166"/>
        <v>65.527475152864895</v>
      </c>
      <c r="O25" s="23">
        <f t="shared" si="162"/>
        <v>38.079126904741749</v>
      </c>
      <c r="P25" s="83">
        <f t="shared" si="167"/>
        <v>103.60660205760664</v>
      </c>
      <c r="Q25" s="84">
        <f>'Health - Mortality'!AB23-'Health - Mortality'!M23</f>
        <v>505.49628023961679</v>
      </c>
      <c r="R25" s="80">
        <f t="shared" si="8"/>
        <v>84.072632009575216</v>
      </c>
      <c r="S25" s="80">
        <f t="shared" si="9"/>
        <v>421.42364823004158</v>
      </c>
      <c r="T25" s="80">
        <f t="shared" si="10"/>
        <v>410.31392307782863</v>
      </c>
      <c r="U25" s="23">
        <f t="shared" si="11"/>
        <v>2.8434754869293522E-4</v>
      </c>
      <c r="V25" s="23">
        <f t="shared" si="12"/>
        <v>7.4972627914681159E-7</v>
      </c>
      <c r="W25" s="23">
        <f t="shared" si="13"/>
        <v>1.6822870846190976E-6</v>
      </c>
      <c r="X25" s="26">
        <f t="shared" si="14"/>
        <v>0.15115964926187206</v>
      </c>
      <c r="Y25" s="28">
        <f t="shared" si="15"/>
        <v>5.3741686702964762</v>
      </c>
      <c r="Z25" s="29">
        <f t="shared" si="16"/>
        <v>3.8460958120231432E-2</v>
      </c>
      <c r="AA25" s="29">
        <f t="shared" si="17"/>
        <v>1.5268437580002929</v>
      </c>
      <c r="AB25" s="29">
        <f t="shared" si="18"/>
        <v>11.941612291687893</v>
      </c>
      <c r="AC25" s="23">
        <f t="shared" si="168"/>
        <v>6.9394733864170011</v>
      </c>
      <c r="AD25" s="83">
        <f t="shared" si="169"/>
        <v>18.881085678104895</v>
      </c>
      <c r="AE25" s="84">
        <f>'Health - Mortality'!AC23-'Health - Mortality'!N23</f>
        <v>384.14434856021546</v>
      </c>
      <c r="AF25" s="80">
        <f t="shared" si="19"/>
        <v>63.889741067435622</v>
      </c>
      <c r="AG25" s="80">
        <f t="shared" si="20"/>
        <v>320.25460749277983</v>
      </c>
      <c r="AH25" s="80">
        <f t="shared" si="21"/>
        <v>311.81193778756091</v>
      </c>
      <c r="AI25" s="23">
        <f t="shared" si="22"/>
        <v>2.1608567288677969E-4</v>
      </c>
      <c r="AJ25" s="23">
        <f t="shared" si="23"/>
        <v>5.6974328864458925E-7</v>
      </c>
      <c r="AK25" s="23">
        <f t="shared" si="24"/>
        <v>1.2784289449289998E-6</v>
      </c>
      <c r="AL25" s="26">
        <f t="shared" si="25"/>
        <v>0.11487151788093744</v>
      </c>
      <c r="AM25" s="28">
        <f t="shared" si="26"/>
        <v>4.0840192175601358</v>
      </c>
      <c r="AN25" s="29">
        <f t="shared" si="27"/>
        <v>2.9227830707467428E-2</v>
      </c>
      <c r="AO25" s="29">
        <f t="shared" si="28"/>
        <v>1.1603021104175602</v>
      </c>
      <c r="AP25" s="29">
        <f t="shared" si="29"/>
        <v>9.0748499125940576</v>
      </c>
      <c r="AQ25" s="23">
        <f t="shared" si="170"/>
        <v>5.2735491586851637</v>
      </c>
      <c r="AR25" s="83">
        <f t="shared" si="171"/>
        <v>14.348399071279221</v>
      </c>
      <c r="AS25" s="84">
        <f>'Health - Mortality'!AD23-'Health - Mortality'!O23</f>
        <v>141.48400619394397</v>
      </c>
      <c r="AT25" s="80">
        <f t="shared" si="30"/>
        <v>23.53119746468845</v>
      </c>
      <c r="AU25" s="80">
        <f t="shared" si="31"/>
        <v>117.95280872925552</v>
      </c>
      <c r="AV25" s="80">
        <f t="shared" si="32"/>
        <v>114.84329341985776</v>
      </c>
      <c r="AW25" s="23">
        <f t="shared" si="33"/>
        <v>7.958640233996143E-5</v>
      </c>
      <c r="AX25" s="23">
        <f t="shared" si="34"/>
        <v>2.0984185575468215E-7</v>
      </c>
      <c r="AY25" s="23">
        <f t="shared" si="35"/>
        <v>4.7085750302141682E-7</v>
      </c>
      <c r="AZ25" s="26">
        <f t="shared" si="36"/>
        <v>4.2308269295875597E-2</v>
      </c>
      <c r="BA25" s="28">
        <f t="shared" si="37"/>
        <v>1.5041830042252711</v>
      </c>
      <c r="BB25" s="29">
        <f t="shared" si="38"/>
        <v>1.0764887200215194E-2</v>
      </c>
      <c r="BC25" s="29">
        <f t="shared" si="39"/>
        <v>0.42735026974223789</v>
      </c>
      <c r="BD25" s="29">
        <f t="shared" si="40"/>
        <v>3.3423532743741724</v>
      </c>
      <c r="BE25" s="23">
        <f t="shared" si="172"/>
        <v>1.9422981611677241</v>
      </c>
      <c r="BF25" s="83">
        <f t="shared" si="173"/>
        <v>5.2846514355418961</v>
      </c>
      <c r="BG25" s="84">
        <f>'Health - Mortality'!AE23-'Health - Mortality'!P23</f>
        <v>120.36266299438657</v>
      </c>
      <c r="BH25" s="80">
        <f t="shared" si="41"/>
        <v>20.018358728224161</v>
      </c>
      <c r="BI25" s="80">
        <f t="shared" si="42"/>
        <v>100.34430426616241</v>
      </c>
      <c r="BJ25" s="80">
        <f t="shared" si="43"/>
        <v>97.698990825236194</v>
      </c>
      <c r="BK25" s="23">
        <f t="shared" si="44"/>
        <v>6.7705400641888673E-5</v>
      </c>
      <c r="BL25" s="23">
        <f t="shared" si="45"/>
        <v>1.7851575768709455E-7</v>
      </c>
      <c r="BM25" s="23">
        <f t="shared" si="46"/>
        <v>4.005658623834684E-7</v>
      </c>
      <c r="BN25" s="26">
        <f t="shared" si="47"/>
        <v>3.5992308220017012E-2</v>
      </c>
      <c r="BO25" s="28">
        <f t="shared" si="48"/>
        <v>1.2796320721316958</v>
      </c>
      <c r="BP25" s="29">
        <f t="shared" si="49"/>
        <v>9.1578583693479494E-3</v>
      </c>
      <c r="BQ25" s="29">
        <f t="shared" si="50"/>
        <v>0.36355357669923594</v>
      </c>
      <c r="BR25" s="29">
        <f t="shared" si="51"/>
        <v>2.843392349381344</v>
      </c>
      <c r="BS25" s="23">
        <f t="shared" si="174"/>
        <v>1.6523435072002797</v>
      </c>
      <c r="BT25" s="83">
        <f t="shared" si="175"/>
        <v>4.4957358565816232</v>
      </c>
      <c r="BU25" s="84">
        <f>'Health - Mortality'!AF23-'Health - Mortality'!Q23</f>
        <v>62.172120891115384</v>
      </c>
      <c r="BV25" s="80">
        <f t="shared" si="52"/>
        <v>10.340281511974455</v>
      </c>
      <c r="BW25" s="80">
        <f t="shared" si="53"/>
        <v>51.831839379140931</v>
      </c>
      <c r="BX25" s="80">
        <f t="shared" si="54"/>
        <v>50.465429373308574</v>
      </c>
      <c r="BY25" s="23">
        <f t="shared" si="55"/>
        <v>3.4972542555702835E-5</v>
      </c>
      <c r="BZ25" s="23">
        <f t="shared" si="56"/>
        <v>9.2210516050219983E-8</v>
      </c>
      <c r="CA25" s="23">
        <f t="shared" si="57"/>
        <v>2.0690826043056517E-7</v>
      </c>
      <c r="CB25" s="26">
        <f t="shared" si="58"/>
        <v>1.8591464181126876E-2</v>
      </c>
      <c r="CC25" s="28">
        <f t="shared" si="59"/>
        <v>0.66098105430278364</v>
      </c>
      <c r="CD25" s="29">
        <f t="shared" si="60"/>
        <v>4.7303994733762849E-3</v>
      </c>
      <c r="CE25" s="29">
        <f t="shared" si="61"/>
        <v>0.18778993716678094</v>
      </c>
      <c r="CF25" s="29">
        <f t="shared" si="62"/>
        <v>1.4687256703090232</v>
      </c>
      <c r="CG25" s="23">
        <f t="shared" si="176"/>
        <v>0.85350139094294086</v>
      </c>
      <c r="CH25" s="83">
        <f t="shared" si="177"/>
        <v>2.3222270612519642</v>
      </c>
      <c r="CI25" s="84">
        <f>'Health - Mortality'!AG23-'Health - Mortality'!R23</f>
        <v>2742.2855706019718</v>
      </c>
      <c r="CJ25" s="80">
        <f t="shared" si="63"/>
        <v>456.08874813698145</v>
      </c>
      <c r="CK25" s="80">
        <f t="shared" si="64"/>
        <v>2286.1968224649904</v>
      </c>
      <c r="CL25" s="80">
        <f t="shared" si="65"/>
        <v>2225.9272613045687</v>
      </c>
      <c r="CM25" s="23">
        <f t="shared" si="66"/>
        <v>1.5425675920840661E-3</v>
      </c>
      <c r="CN25" s="23">
        <f t="shared" si="67"/>
        <v>4.0672179748401584E-6</v>
      </c>
      <c r="CO25" s="23">
        <f t="shared" si="68"/>
        <v>9.1263017713487327E-6</v>
      </c>
      <c r="CP25" s="26">
        <f t="shared" si="69"/>
        <v>0.8200316030646031</v>
      </c>
      <c r="CQ25" s="28">
        <f t="shared" si="70"/>
        <v>29.154527490388851</v>
      </c>
      <c r="CR25" s="29">
        <f t="shared" si="71"/>
        <v>0.20864828210930011</v>
      </c>
      <c r="CS25" s="29">
        <f t="shared" si="72"/>
        <v>8.2830314876761104</v>
      </c>
      <c r="CT25" s="29">
        <f t="shared" si="73"/>
        <v>64.782496642103638</v>
      </c>
      <c r="CU25" s="23">
        <f t="shared" si="178"/>
        <v>37.646207260174265</v>
      </c>
      <c r="CV25" s="83">
        <f t="shared" si="179"/>
        <v>102.4287039022779</v>
      </c>
      <c r="CW25" s="84">
        <f>'Health - Mortality'!AH23-'Health - Mortality'!S23</f>
        <v>1001.43791568289</v>
      </c>
      <c r="CX25" s="80">
        <f t="shared" si="74"/>
        <v>166.55616402505271</v>
      </c>
      <c r="CY25" s="80">
        <f t="shared" si="75"/>
        <v>834.8817516578373</v>
      </c>
      <c r="CZ25" s="80">
        <f t="shared" si="76"/>
        <v>812.87229197404292</v>
      </c>
      <c r="DA25" s="23">
        <f t="shared" si="77"/>
        <v>5.6332049833801166E-4</v>
      </c>
      <c r="DB25" s="23">
        <f t="shared" si="78"/>
        <v>1.4852815968607586E-6</v>
      </c>
      <c r="DC25" s="23">
        <f t="shared" si="79"/>
        <v>3.3327763970935763E-6</v>
      </c>
      <c r="DD25" s="26">
        <f t="shared" si="80"/>
        <v>0.29946215236323742</v>
      </c>
      <c r="DE25" s="28">
        <f t="shared" si="81"/>
        <v>10.64675741858842</v>
      </c>
      <c r="DF25" s="29">
        <f t="shared" si="82"/>
        <v>7.6194945918956924E-2</v>
      </c>
      <c r="DG25" s="29">
        <f t="shared" si="83"/>
        <v>3.0248278580021299</v>
      </c>
      <c r="DH25" s="29">
        <f t="shared" si="84"/>
        <v>23.657510036695758</v>
      </c>
      <c r="DI25" s="23">
        <f t="shared" si="180"/>
        <v>13.747780222509506</v>
      </c>
      <c r="DJ25" s="83">
        <f t="shared" si="181"/>
        <v>37.405290259205266</v>
      </c>
      <c r="DK25" s="84">
        <f>'Health - Mortality'!AI23-'Health - Mortality'!T23</f>
        <v>391.06849435302831</v>
      </c>
      <c r="DL25" s="80">
        <f t="shared" si="85"/>
        <v>65.041344321457316</v>
      </c>
      <c r="DM25" s="80">
        <f t="shared" si="86"/>
        <v>326.02715003157101</v>
      </c>
      <c r="DN25" s="80">
        <f t="shared" si="87"/>
        <v>317.43230243765322</v>
      </c>
      <c r="DO25" s="23">
        <f t="shared" si="88"/>
        <v>2.1998058558929368E-4</v>
      </c>
      <c r="DP25" s="23">
        <f t="shared" si="89"/>
        <v>5.8001282823260552E-7</v>
      </c>
      <c r="DQ25" s="23">
        <f t="shared" si="90"/>
        <v>1.3014724399943782E-6</v>
      </c>
      <c r="DR25" s="26">
        <f t="shared" si="91"/>
        <v>0.11694206021803144</v>
      </c>
      <c r="DS25" s="28">
        <f t="shared" si="92"/>
        <v>4.1576330676376507</v>
      </c>
      <c r="DT25" s="29">
        <f t="shared" si="93"/>
        <v>2.9754658088332664E-2</v>
      </c>
      <c r="DU25" s="29">
        <f t="shared" si="94"/>
        <v>1.1812163865388976</v>
      </c>
      <c r="DV25" s="29">
        <f t="shared" si="95"/>
        <v>9.2384227572244839</v>
      </c>
      <c r="DW25" s="23">
        <f t="shared" si="182"/>
        <v>5.3686041122648813</v>
      </c>
      <c r="DX25" s="83">
        <f t="shared" si="183"/>
        <v>14.607026869489365</v>
      </c>
      <c r="DY25" s="84">
        <f>'Health - Mortality'!AJ23-'Health - Mortality'!U23</f>
        <v>646.28861189576401</v>
      </c>
      <c r="DZ25" s="80">
        <f t="shared" si="96"/>
        <v>107.48879223035158</v>
      </c>
      <c r="EA25" s="80">
        <f t="shared" si="97"/>
        <v>538.79981966541243</v>
      </c>
      <c r="EB25" s="80">
        <f t="shared" si="98"/>
        <v>524.59578072814543</v>
      </c>
      <c r="EC25" s="23">
        <f t="shared" si="99"/>
        <v>3.6354487604460474E-4</v>
      </c>
      <c r="ED25" s="23">
        <f t="shared" si="100"/>
        <v>9.5854227853444567E-7</v>
      </c>
      <c r="EE25" s="23">
        <f t="shared" si="101"/>
        <v>2.1508427009853963E-6</v>
      </c>
      <c r="EF25" s="26">
        <f t="shared" si="102"/>
        <v>0.19326108562024877</v>
      </c>
      <c r="EG25" s="28">
        <f t="shared" si="103"/>
        <v>6.8709981572430294</v>
      </c>
      <c r="EH25" s="29">
        <f t="shared" si="104"/>
        <v>4.9173218888817059E-2</v>
      </c>
      <c r="EI25" s="29">
        <f t="shared" si="105"/>
        <v>1.9521048354143458</v>
      </c>
      <c r="EJ25" s="29">
        <f t="shared" si="106"/>
        <v>15.267625763999654</v>
      </c>
      <c r="EK25" s="23">
        <f t="shared" si="184"/>
        <v>8.8722762115461915</v>
      </c>
      <c r="EL25" s="83">
        <f t="shared" si="185"/>
        <v>24.139901975545847</v>
      </c>
      <c r="EM25" s="84">
        <f>'Health - Mortality'!AK23-'Health - Mortality'!V23</f>
        <v>93.436905748648059</v>
      </c>
      <c r="EN25" s="80">
        <f t="shared" si="107"/>
        <v>15.540147178522799</v>
      </c>
      <c r="EO25" s="80">
        <f t="shared" si="108"/>
        <v>77.896758570125257</v>
      </c>
      <c r="EP25" s="80">
        <f t="shared" si="109"/>
        <v>75.843215581740381</v>
      </c>
      <c r="EQ25" s="23">
        <f t="shared" si="110"/>
        <v>5.2559348398146076E-5</v>
      </c>
      <c r="ER25" s="23">
        <f t="shared" si="111"/>
        <v>1.3858084899995492E-7</v>
      </c>
      <c r="ES25" s="23">
        <f t="shared" si="112"/>
        <v>3.1095718388513558E-7</v>
      </c>
      <c r="ET25" s="26">
        <f t="shared" si="113"/>
        <v>2.7940640620313154E-2</v>
      </c>
      <c r="EU25" s="28">
        <f t="shared" si="114"/>
        <v>0.99337168472496085</v>
      </c>
      <c r="EV25" s="29">
        <f t="shared" si="115"/>
        <v>7.1091975536976869E-3</v>
      </c>
      <c r="EW25" s="29">
        <f t="shared" si="116"/>
        <v>0.28222474009414905</v>
      </c>
      <c r="EX25" s="29">
        <f t="shared" si="117"/>
        <v>2.2073106090047392</v>
      </c>
      <c r="EY25" s="23">
        <f t="shared" si="186"/>
        <v>1.2827056223728077</v>
      </c>
      <c r="EZ25" s="83">
        <f t="shared" si="187"/>
        <v>3.4900162313775471</v>
      </c>
      <c r="FA25" s="84">
        <f>'Health - Mortality'!AL23-'Health - Mortality'!W23</f>
        <v>443.36065731048848</v>
      </c>
      <c r="FB25" s="80">
        <f t="shared" si="118"/>
        <v>73.738420729662181</v>
      </c>
      <c r="FC25" s="80">
        <f t="shared" si="119"/>
        <v>369.62223658082627</v>
      </c>
      <c r="FD25" s="80">
        <f t="shared" si="120"/>
        <v>359.87811928744259</v>
      </c>
      <c r="FE25" s="23">
        <f t="shared" si="121"/>
        <v>2.4939553666619772E-4</v>
      </c>
      <c r="FF25" s="23">
        <f t="shared" si="122"/>
        <v>6.5756989501072558E-7</v>
      </c>
      <c r="FG25" s="23">
        <f t="shared" si="123"/>
        <v>1.4755002890785146E-6</v>
      </c>
      <c r="FH25" s="26">
        <f t="shared" si="124"/>
        <v>0.13257909914549385</v>
      </c>
      <c r="FI25" s="28">
        <f t="shared" si="125"/>
        <v>4.7135756429911373</v>
      </c>
      <c r="FJ25" s="29">
        <f t="shared" si="126"/>
        <v>3.3733335614050224E-2</v>
      </c>
      <c r="FK25" s="29">
        <f t="shared" si="127"/>
        <v>1.3391640623676599</v>
      </c>
      <c r="FL25" s="29">
        <f t="shared" si="128"/>
        <v>10.473748832494014</v>
      </c>
      <c r="FM25" s="23">
        <f t="shared" si="188"/>
        <v>6.0864730409728471</v>
      </c>
      <c r="FN25" s="83">
        <f t="shared" si="189"/>
        <v>16.560221873466862</v>
      </c>
      <c r="FO25" s="84">
        <f>'Health - Mortality'!AM23-'Health - Mortality'!X23</f>
        <v>264.15946372680804</v>
      </c>
      <c r="FP25" s="80">
        <f t="shared" si="129"/>
        <v>43.934213274968691</v>
      </c>
      <c r="FQ25" s="80">
        <f t="shared" si="130"/>
        <v>220.22525045183934</v>
      </c>
      <c r="FR25" s="80">
        <f t="shared" si="131"/>
        <v>214.41959143300409</v>
      </c>
      <c r="FS25" s="23">
        <f t="shared" si="132"/>
        <v>1.4859277686307183E-4</v>
      </c>
      <c r="FT25" s="23">
        <f t="shared" si="133"/>
        <v>3.9178783224168922E-7</v>
      </c>
      <c r="FU25" s="23">
        <f t="shared" si="134"/>
        <v>8.7912032487531687E-7</v>
      </c>
      <c r="FV25" s="26">
        <f t="shared" si="135"/>
        <v>7.8992177483918694E-2</v>
      </c>
      <c r="FW25" s="28">
        <f t="shared" si="136"/>
        <v>2.8084034827120576</v>
      </c>
      <c r="FX25" s="29">
        <f t="shared" si="137"/>
        <v>2.0098715793998658E-2</v>
      </c>
      <c r="FY25" s="29">
        <f t="shared" si="138"/>
        <v>0.79788960685683763</v>
      </c>
      <c r="FZ25" s="29">
        <f t="shared" si="139"/>
        <v>6.2403820212295766</v>
      </c>
      <c r="GA25" s="23">
        <f t="shared" si="190"/>
        <v>3.6263918053628941</v>
      </c>
      <c r="GB25" s="83">
        <f t="shared" si="191"/>
        <v>9.8667738265924712</v>
      </c>
      <c r="GC25" s="84">
        <f>'Health - Mortality'!AN23-'Health - Mortality'!Y23</f>
        <v>807.22321895963387</v>
      </c>
      <c r="GD25" s="80">
        <f t="shared" si="140"/>
        <v>134.25495555577248</v>
      </c>
      <c r="GE25" s="80">
        <f t="shared" si="141"/>
        <v>672.96826340386144</v>
      </c>
      <c r="GF25" s="80">
        <f t="shared" si="142"/>
        <v>655.22722662536114</v>
      </c>
      <c r="GG25" s="23">
        <f t="shared" si="143"/>
        <v>4.5407246805137519E-4</v>
      </c>
      <c r="GH25" s="23">
        <f t="shared" si="144"/>
        <v>1.1972322726185864E-6</v>
      </c>
      <c r="GI25" s="23">
        <f t="shared" si="145"/>
        <v>2.6864316291639806E-6</v>
      </c>
      <c r="GJ25" s="26">
        <f t="shared" si="146"/>
        <v>0.24138571028878303</v>
      </c>
      <c r="GK25" s="28">
        <f t="shared" si="147"/>
        <v>8.5819696461709913</v>
      </c>
      <c r="GL25" s="29">
        <f t="shared" si="148"/>
        <v>6.1418015585333482E-2</v>
      </c>
      <c r="GM25" s="29">
        <f t="shared" si="149"/>
        <v>2.4382053466292288</v>
      </c>
      <c r="GN25" s="29">
        <f t="shared" si="150"/>
        <v>19.069471112813858</v>
      </c>
      <c r="GO25" s="23">
        <f t="shared" si="192"/>
        <v>11.081593008385553</v>
      </c>
      <c r="GP25" s="83">
        <f t="shared" si="193"/>
        <v>30.151064121199411</v>
      </c>
      <c r="GQ25" s="84">
        <f>'Health - Mortality'!AO23-'Health - Mortality'!Z23</f>
        <v>848.86834790260377</v>
      </c>
      <c r="GR25" s="80">
        <f t="shared" si="151"/>
        <v>141.18124905679281</v>
      </c>
      <c r="GS25" s="80">
        <f t="shared" si="152"/>
        <v>707.68709884581097</v>
      </c>
      <c r="GT25" s="80">
        <f t="shared" si="153"/>
        <v>689.03079136291387</v>
      </c>
      <c r="GU25" s="23">
        <f t="shared" si="154"/>
        <v>4.7749833841449931E-4</v>
      </c>
      <c r="GV25" s="23">
        <f t="shared" si="155"/>
        <v>1.2589982020378926E-6</v>
      </c>
      <c r="GW25" s="23">
        <f t="shared" si="156"/>
        <v>2.8250262445879471E-6</v>
      </c>
      <c r="GX25" s="26">
        <f t="shared" si="157"/>
        <v>0.25383894353809744</v>
      </c>
      <c r="GY25" s="28">
        <f t="shared" si="158"/>
        <v>9.0247185960340364</v>
      </c>
      <c r="GZ25" s="29">
        <f t="shared" si="159"/>
        <v>6.4586607764543891E-2</v>
      </c>
      <c r="HA25" s="29">
        <f t="shared" si="160"/>
        <v>2.563993819588021</v>
      </c>
      <c r="HB25" s="29">
        <f t="shared" si="161"/>
        <v>20.053276539509696</v>
      </c>
      <c r="HC25" s="23">
        <f t="shared" si="194"/>
        <v>11.653299023386602</v>
      </c>
      <c r="HD25" s="83">
        <f t="shared" si="195"/>
        <v>31.706575562896298</v>
      </c>
    </row>
    <row r="26" spans="2:212" x14ac:dyDescent="0.3">
      <c r="B26" s="6">
        <v>2043</v>
      </c>
      <c r="C26" s="84">
        <f>'Health - Mortality'!AA24-'Health - Mortality'!L24</f>
        <v>3044.3309286912008</v>
      </c>
      <c r="D26" s="80">
        <f t="shared" si="0"/>
        <v>506.32403024192377</v>
      </c>
      <c r="E26" s="80">
        <f t="shared" si="1"/>
        <v>2538.0068984492773</v>
      </c>
      <c r="F26" s="80">
        <f t="shared" si="2"/>
        <v>2471.0990274870851</v>
      </c>
      <c r="G26" s="95">
        <f t="shared" si="3"/>
        <v>1.7124716260485497E-3</v>
      </c>
      <c r="H26" s="95">
        <f t="shared" si="4"/>
        <v>4.5151962316662244E-6</v>
      </c>
      <c r="I26" s="95">
        <f t="shared" si="5"/>
        <v>1.013150601269705E-5</v>
      </c>
      <c r="J26" s="118">
        <f t="shared" si="6"/>
        <v>0.91035288172624218</v>
      </c>
      <c r="K26" s="28">
        <f t="shared" si="163"/>
        <v>32.365713732317587</v>
      </c>
      <c r="L26" s="29">
        <f t="shared" si="164"/>
        <v>0.23162956668447732</v>
      </c>
      <c r="M26" s="29">
        <f t="shared" si="165"/>
        <v>9.1953548571238422</v>
      </c>
      <c r="N26" s="29">
        <f t="shared" si="166"/>
        <v>72.828230538099376</v>
      </c>
      <c r="O26" s="23">
        <f t="shared" si="162"/>
        <v>41.792698156125908</v>
      </c>
      <c r="P26" s="83">
        <f t="shared" si="167"/>
        <v>114.62092869422528</v>
      </c>
      <c r="Q26" s="84">
        <f>'Health - Mortality'!AB24-'Health - Mortality'!M24</f>
        <v>554.79353589034235</v>
      </c>
      <c r="R26" s="80">
        <f t="shared" si="8"/>
        <v>92.271604376772046</v>
      </c>
      <c r="S26" s="80">
        <f t="shared" si="9"/>
        <v>462.52193151357028</v>
      </c>
      <c r="T26" s="80">
        <f t="shared" si="10"/>
        <v>450.3287583075392</v>
      </c>
      <c r="U26" s="23">
        <f t="shared" si="11"/>
        <v>3.1207782950712462E-4</v>
      </c>
      <c r="V26" s="23">
        <f t="shared" si="12"/>
        <v>8.2284145228645956E-7</v>
      </c>
      <c r="W26" s="23">
        <f t="shared" si="13"/>
        <v>1.846347909060911E-6</v>
      </c>
      <c r="X26" s="26">
        <f t="shared" si="14"/>
        <v>0.16590111456049744</v>
      </c>
      <c r="Y26" s="28">
        <f t="shared" si="15"/>
        <v>5.8982709776846551</v>
      </c>
      <c r="Z26" s="29">
        <f t="shared" si="16"/>
        <v>4.2211766502295377E-2</v>
      </c>
      <c r="AA26" s="29">
        <f t="shared" si="17"/>
        <v>1.6757453622636829</v>
      </c>
      <c r="AB26" s="29">
        <f t="shared" si="18"/>
        <v>13.272089164839795</v>
      </c>
      <c r="AC26" s="23">
        <f t="shared" si="168"/>
        <v>7.6162281064506336</v>
      </c>
      <c r="AD26" s="83">
        <f t="shared" si="169"/>
        <v>20.888317271290429</v>
      </c>
      <c r="AE26" s="84">
        <f>'Health - Mortality'!AC24-'Health - Mortality'!N24</f>
        <v>421.6070617354294</v>
      </c>
      <c r="AF26" s="80">
        <f t="shared" si="19"/>
        <v>70.120427665894965</v>
      </c>
      <c r="AG26" s="80">
        <f t="shared" si="20"/>
        <v>351.48663406953443</v>
      </c>
      <c r="AH26" s="80">
        <f t="shared" si="21"/>
        <v>342.22061419715794</v>
      </c>
      <c r="AI26" s="23">
        <f t="shared" si="22"/>
        <v>2.3715888563863045E-4</v>
      </c>
      <c r="AJ26" s="23">
        <f t="shared" si="23"/>
        <v>6.2530607249392563E-7</v>
      </c>
      <c r="AK26" s="23">
        <f t="shared" si="24"/>
        <v>1.4031045182083477E-6</v>
      </c>
      <c r="AL26" s="26">
        <f t="shared" si="25"/>
        <v>0.12607407427023298</v>
      </c>
      <c r="AM26" s="28">
        <f t="shared" si="26"/>
        <v>4.4823029385701156</v>
      </c>
      <c r="AN26" s="29">
        <f t="shared" si="27"/>
        <v>3.2078201518938386E-2</v>
      </c>
      <c r="AO26" s="29">
        <f t="shared" si="28"/>
        <v>1.2734576607258963</v>
      </c>
      <c r="AP26" s="29">
        <f t="shared" si="29"/>
        <v>10.085925941618639</v>
      </c>
      <c r="AQ26" s="23">
        <f t="shared" si="170"/>
        <v>5.7878388008149511</v>
      </c>
      <c r="AR26" s="83">
        <f t="shared" si="171"/>
        <v>15.87376474243359</v>
      </c>
      <c r="AS26" s="84">
        <f>'Health - Mortality'!AD24-'Health - Mortality'!O24</f>
        <v>155.28187869366934</v>
      </c>
      <c r="AT26" s="80">
        <f t="shared" si="30"/>
        <v>25.826018420907101</v>
      </c>
      <c r="AU26" s="80">
        <f t="shared" si="31"/>
        <v>129.45586027276224</v>
      </c>
      <c r="AV26" s="80">
        <f t="shared" si="32"/>
        <v>126.04309728944577</v>
      </c>
      <c r="AW26" s="23">
        <f t="shared" si="33"/>
        <v>8.7347866421585901E-5</v>
      </c>
      <c r="AX26" s="23">
        <f t="shared" si="34"/>
        <v>2.3030615591621376E-7</v>
      </c>
      <c r="AY26" s="23">
        <f t="shared" si="35"/>
        <v>5.167766988867277E-7</v>
      </c>
      <c r="AZ26" s="26">
        <f t="shared" si="36"/>
        <v>4.6434277041431812E-2</v>
      </c>
      <c r="BA26" s="28">
        <f t="shared" si="37"/>
        <v>1.6508746753679735</v>
      </c>
      <c r="BB26" s="29">
        <f t="shared" si="38"/>
        <v>1.1814705798501766E-2</v>
      </c>
      <c r="BC26" s="29">
        <f t="shared" si="39"/>
        <v>0.46902653190959404</v>
      </c>
      <c r="BD26" s="29">
        <f t="shared" si="40"/>
        <v>3.7147421633145452</v>
      </c>
      <c r="BE26" s="23">
        <f t="shared" si="172"/>
        <v>2.1317159130760692</v>
      </c>
      <c r="BF26" s="83">
        <f t="shared" si="173"/>
        <v>5.8464580763906149</v>
      </c>
      <c r="BG26" s="84">
        <f>'Health - Mortality'!AE24-'Health - Mortality'!P24</f>
        <v>132.10072952501218</v>
      </c>
      <c r="BH26" s="80">
        <f t="shared" si="41"/>
        <v>21.970598905867821</v>
      </c>
      <c r="BI26" s="80">
        <f t="shared" si="42"/>
        <v>110.13013061914437</v>
      </c>
      <c r="BJ26" s="80">
        <f t="shared" si="43"/>
        <v>107.22683962611465</v>
      </c>
      <c r="BK26" s="23">
        <f t="shared" si="44"/>
        <v>7.4308199860897452E-5</v>
      </c>
      <c r="BL26" s="23">
        <f t="shared" si="45"/>
        <v>1.9592505878068936E-7</v>
      </c>
      <c r="BM26" s="23">
        <f t="shared" si="46"/>
        <v>4.3963004246707008E-7</v>
      </c>
      <c r="BN26" s="26">
        <f t="shared" si="47"/>
        <v>3.9502367718260635E-2</v>
      </c>
      <c r="BO26" s="28">
        <f t="shared" si="48"/>
        <v>1.4044249773709618</v>
      </c>
      <c r="BP26" s="29">
        <f t="shared" si="49"/>
        <v>1.0050955515449364E-2</v>
      </c>
      <c r="BQ26" s="29">
        <f t="shared" si="50"/>
        <v>0.3990082265431128</v>
      </c>
      <c r="BR26" s="29">
        <f t="shared" si="51"/>
        <v>3.1601894174608507</v>
      </c>
      <c r="BS26" s="23">
        <f t="shared" si="174"/>
        <v>1.8134841594295239</v>
      </c>
      <c r="BT26" s="83">
        <f t="shared" si="175"/>
        <v>4.9736735768903744</v>
      </c>
      <c r="BU26" s="84">
        <f>'Health - Mortality'!AF24-'Health - Mortality'!Q24</f>
        <v>68.235300894070676</v>
      </c>
      <c r="BV26" s="80">
        <f t="shared" si="52"/>
        <v>11.348691506514164</v>
      </c>
      <c r="BW26" s="80">
        <f t="shared" si="53"/>
        <v>56.886609387556511</v>
      </c>
      <c r="BX26" s="80">
        <f t="shared" si="54"/>
        <v>55.386943676362101</v>
      </c>
      <c r="BY26" s="23">
        <f t="shared" si="55"/>
        <v>3.8383151967718928E-5</v>
      </c>
      <c r="BZ26" s="23">
        <f t="shared" si="56"/>
        <v>1.0120311512782003E-7</v>
      </c>
      <c r="CA26" s="23">
        <f t="shared" si="57"/>
        <v>2.2708646907308463E-7</v>
      </c>
      <c r="CB26" s="26">
        <f t="shared" si="58"/>
        <v>2.0404550050371797E-2</v>
      </c>
      <c r="CC26" s="28">
        <f t="shared" si="59"/>
        <v>0.7254415721898877</v>
      </c>
      <c r="CD26" s="29">
        <f t="shared" si="60"/>
        <v>5.1917198060571672E-3</v>
      </c>
      <c r="CE26" s="29">
        <f t="shared" si="61"/>
        <v>0.20610367933073162</v>
      </c>
      <c r="CF26" s="29">
        <f t="shared" si="62"/>
        <v>1.6323640040297438</v>
      </c>
      <c r="CG26" s="23">
        <f t="shared" si="176"/>
        <v>0.93673697132667644</v>
      </c>
      <c r="CH26" s="83">
        <f t="shared" si="177"/>
        <v>2.5691009753564202</v>
      </c>
      <c r="CI26" s="84">
        <f>'Health - Mortality'!AG24-'Health - Mortality'!R24</f>
        <v>3009.7200861975743</v>
      </c>
      <c r="CJ26" s="80">
        <f t="shared" si="63"/>
        <v>500.56765826005932</v>
      </c>
      <c r="CK26" s="80">
        <f t="shared" si="64"/>
        <v>2509.1524279375149</v>
      </c>
      <c r="CL26" s="80">
        <f t="shared" si="65"/>
        <v>2443.00522913538</v>
      </c>
      <c r="CM26" s="23">
        <f t="shared" si="66"/>
        <v>1.6930026237908181E-3</v>
      </c>
      <c r="CN26" s="23">
        <f t="shared" si="67"/>
        <v>4.4638631968344296E-6</v>
      </c>
      <c r="CO26" s="23">
        <f t="shared" si="68"/>
        <v>1.0016321439455059E-5</v>
      </c>
      <c r="CP26" s="26">
        <f t="shared" si="69"/>
        <v>0.90000312641347402</v>
      </c>
      <c r="CQ26" s="28">
        <f t="shared" si="70"/>
        <v>31.997749589646464</v>
      </c>
      <c r="CR26" s="29">
        <f t="shared" si="71"/>
        <v>0.22899618199760624</v>
      </c>
      <c r="CS26" s="29">
        <f t="shared" si="72"/>
        <v>9.0908133384494114</v>
      </c>
      <c r="CT26" s="29">
        <f t="shared" si="73"/>
        <v>72.000250113077925</v>
      </c>
      <c r="CU26" s="23">
        <f t="shared" si="178"/>
        <v>41.317559110093484</v>
      </c>
      <c r="CV26" s="83">
        <f t="shared" si="179"/>
        <v>113.31780922317141</v>
      </c>
      <c r="CW26" s="84">
        <f>'Health - Mortality'!AH24-'Health - Mortality'!S24</f>
        <v>1099.1006342381036</v>
      </c>
      <c r="CX26" s="80">
        <f t="shared" si="74"/>
        <v>182.79913577205568</v>
      </c>
      <c r="CY26" s="80">
        <f t="shared" si="75"/>
        <v>916.30149846604786</v>
      </c>
      <c r="CZ26" s="80">
        <f t="shared" si="76"/>
        <v>892.14562148269977</v>
      </c>
      <c r="DA26" s="23">
        <f t="shared" si="77"/>
        <v>6.1825691568751081E-4</v>
      </c>
      <c r="DB26" s="23">
        <f t="shared" si="78"/>
        <v>1.6301299557033882E-6</v>
      </c>
      <c r="DC26" s="23">
        <f t="shared" si="79"/>
        <v>3.6577970480790691E-6</v>
      </c>
      <c r="DD26" s="26">
        <f t="shared" si="80"/>
        <v>0.32866644695422659</v>
      </c>
      <c r="DE26" s="28">
        <f t="shared" si="81"/>
        <v>11.685055706493955</v>
      </c>
      <c r="DF26" s="29">
        <f t="shared" si="82"/>
        <v>8.3625666727583814E-2</v>
      </c>
      <c r="DG26" s="29">
        <f t="shared" si="83"/>
        <v>3.319816600836563</v>
      </c>
      <c r="DH26" s="29">
        <f t="shared" si="84"/>
        <v>26.293315756338128</v>
      </c>
      <c r="DI26" s="23">
        <f t="shared" si="180"/>
        <v>15.0884979740581</v>
      </c>
      <c r="DJ26" s="83">
        <f t="shared" si="181"/>
        <v>41.381813730396232</v>
      </c>
      <c r="DK26" s="84">
        <f>'Health - Mortality'!AI24-'Health - Mortality'!T24</f>
        <v>429.20646746319062</v>
      </c>
      <c r="DL26" s="80">
        <f t="shared" si="85"/>
        <v>71.384338136094016</v>
      </c>
      <c r="DM26" s="80">
        <f t="shared" si="86"/>
        <v>357.8221293270966</v>
      </c>
      <c r="DN26" s="80">
        <f t="shared" si="87"/>
        <v>348.38909079947791</v>
      </c>
      <c r="DO26" s="23">
        <f t="shared" si="88"/>
        <v>2.4143363992403817E-4</v>
      </c>
      <c r="DP26" s="23">
        <f t="shared" si="89"/>
        <v>6.3657712314794965E-7</v>
      </c>
      <c r="DQ26" s="23">
        <f t="shared" si="90"/>
        <v>1.4283952722778596E-6</v>
      </c>
      <c r="DR26" s="26">
        <f t="shared" si="91"/>
        <v>0.12834654105052765</v>
      </c>
      <c r="DS26" s="28">
        <f t="shared" si="92"/>
        <v>4.5630957945643216</v>
      </c>
      <c r="DT26" s="29">
        <f t="shared" si="93"/>
        <v>3.2656406417489819E-2</v>
      </c>
      <c r="DU26" s="29">
        <f t="shared" si="94"/>
        <v>1.2964115491193853</v>
      </c>
      <c r="DV26" s="29">
        <f t="shared" si="95"/>
        <v>10.267723284042212</v>
      </c>
      <c r="DW26" s="23">
        <f t="shared" si="182"/>
        <v>5.8921637501011972</v>
      </c>
      <c r="DX26" s="83">
        <f t="shared" si="183"/>
        <v>16.159887034143409</v>
      </c>
      <c r="DY26" s="84">
        <f>'Health - Mortality'!AJ24-'Health - Mortality'!U24</f>
        <v>709.31628622340781</v>
      </c>
      <c r="DZ26" s="80">
        <f t="shared" si="96"/>
        <v>117.97136683536262</v>
      </c>
      <c r="EA26" s="80">
        <f t="shared" si="97"/>
        <v>591.34491938804524</v>
      </c>
      <c r="EB26" s="80">
        <f t="shared" si="98"/>
        <v>575.75566721353857</v>
      </c>
      <c r="EC26" s="23">
        <f t="shared" si="99"/>
        <v>3.9899867737898224E-4</v>
      </c>
      <c r="ED26" s="23">
        <f t="shared" si="100"/>
        <v>1.0520217077689044E-6</v>
      </c>
      <c r="EE26" s="23">
        <f t="shared" si="101"/>
        <v>2.3605982355755084E-6</v>
      </c>
      <c r="EF26" s="26">
        <f t="shared" si="102"/>
        <v>0.2121083878014676</v>
      </c>
      <c r="EG26" s="28">
        <f t="shared" si="103"/>
        <v>7.5410750024627644</v>
      </c>
      <c r="EH26" s="29">
        <f t="shared" si="104"/>
        <v>5.3968713608544799E-2</v>
      </c>
      <c r="EI26" s="29">
        <f t="shared" si="105"/>
        <v>2.1424789586083315</v>
      </c>
      <c r="EJ26" s="29">
        <f t="shared" si="106"/>
        <v>16.968671024117409</v>
      </c>
      <c r="EK26" s="23">
        <f t="shared" si="184"/>
        <v>9.7375226746796404</v>
      </c>
      <c r="EL26" s="83">
        <f t="shared" si="185"/>
        <v>26.706193698797051</v>
      </c>
      <c r="EM26" s="84">
        <f>'Health - Mortality'!AK24-'Health - Mortality'!V24</f>
        <v>102.54910540266016</v>
      </c>
      <c r="EN26" s="80">
        <f t="shared" si="107"/>
        <v>17.05566101760861</v>
      </c>
      <c r="EO26" s="80">
        <f t="shared" si="108"/>
        <v>85.493444385051546</v>
      </c>
      <c r="EP26" s="80">
        <f t="shared" si="109"/>
        <v>83.239634772270975</v>
      </c>
      <c r="EQ26" s="23">
        <f t="shared" si="110"/>
        <v>5.7685066897183777E-5</v>
      </c>
      <c r="ER26" s="23">
        <f t="shared" si="111"/>
        <v>1.5209559838289202E-7</v>
      </c>
      <c r="ES26" s="23">
        <f t="shared" si="112"/>
        <v>3.4128250256631105E-7</v>
      </c>
      <c r="ET26" s="26">
        <f t="shared" si="113"/>
        <v>3.0665481450104625E-2</v>
      </c>
      <c r="EU26" s="28">
        <f t="shared" si="114"/>
        <v>1.0902477643567734</v>
      </c>
      <c r="EV26" s="29">
        <f t="shared" si="115"/>
        <v>7.8025041970423608E-3</v>
      </c>
      <c r="EW26" s="29">
        <f t="shared" si="116"/>
        <v>0.3097479993291839</v>
      </c>
      <c r="EX26" s="29">
        <f t="shared" si="117"/>
        <v>2.4532385160083701</v>
      </c>
      <c r="EY26" s="23">
        <f t="shared" si="186"/>
        <v>1.4077982678829997</v>
      </c>
      <c r="EZ26" s="83">
        <f t="shared" si="187"/>
        <v>3.86103678389137</v>
      </c>
      <c r="FA26" s="84">
        <f>'Health - Mortality'!AL24-'Health - Mortality'!W24</f>
        <v>486.59829233037101</v>
      </c>
      <c r="FB26" s="80">
        <f t="shared" si="118"/>
        <v>80.929575086461369</v>
      </c>
      <c r="FC26" s="80">
        <f t="shared" si="119"/>
        <v>405.66871724390961</v>
      </c>
      <c r="FD26" s="80">
        <f t="shared" si="120"/>
        <v>394.97432937469716</v>
      </c>
      <c r="FE26" s="23">
        <f t="shared" si="121"/>
        <v>2.7371721025666509E-4</v>
      </c>
      <c r="FF26" s="23">
        <f t="shared" si="122"/>
        <v>7.2169774815179772E-7</v>
      </c>
      <c r="FG26" s="23">
        <f t="shared" si="123"/>
        <v>1.6193947504362585E-6</v>
      </c>
      <c r="FH26" s="26">
        <f t="shared" si="124"/>
        <v>0.14550854294163842</v>
      </c>
      <c r="FI26" s="28">
        <f t="shared" si="125"/>
        <v>5.1732552738509705</v>
      </c>
      <c r="FJ26" s="29">
        <f t="shared" si="126"/>
        <v>3.7023094480187223E-2</v>
      </c>
      <c r="FK26" s="29">
        <f t="shared" si="127"/>
        <v>1.4697626754959483</v>
      </c>
      <c r="FL26" s="29">
        <f t="shared" si="128"/>
        <v>11.640683435331074</v>
      </c>
      <c r="FM26" s="23">
        <f t="shared" si="188"/>
        <v>6.6800410438271056</v>
      </c>
      <c r="FN26" s="83">
        <f t="shared" si="189"/>
        <v>18.32072447915818</v>
      </c>
      <c r="FO26" s="84">
        <f>'Health - Mortality'!AM24-'Health - Mortality'!X24</f>
        <v>289.92095223811049</v>
      </c>
      <c r="FP26" s="80">
        <f t="shared" si="129"/>
        <v>48.218787125053154</v>
      </c>
      <c r="FQ26" s="80">
        <f t="shared" si="130"/>
        <v>241.70216511305733</v>
      </c>
      <c r="FR26" s="80">
        <f t="shared" si="131"/>
        <v>235.33032377387588</v>
      </c>
      <c r="FS26" s="23">
        <f t="shared" si="132"/>
        <v>1.6308391437529595E-4</v>
      </c>
      <c r="FT26" s="23">
        <f t="shared" si="133"/>
        <v>4.2999595697350101E-7</v>
      </c>
      <c r="FU26" s="23">
        <f t="shared" si="134"/>
        <v>9.6485432747289118E-7</v>
      </c>
      <c r="FV26" s="26">
        <f t="shared" si="135"/>
        <v>8.6695691278295864E-2</v>
      </c>
      <c r="FW26" s="28">
        <f t="shared" si="136"/>
        <v>3.0822859816930936</v>
      </c>
      <c r="FX26" s="29">
        <f t="shared" si="137"/>
        <v>2.20587925927406E-2</v>
      </c>
      <c r="FY26" s="29">
        <f t="shared" si="138"/>
        <v>0.87570178761439599</v>
      </c>
      <c r="FZ26" s="29">
        <f t="shared" si="139"/>
        <v>6.9356553022636689</v>
      </c>
      <c r="GA26" s="23">
        <f t="shared" si="190"/>
        <v>3.9800465619002301</v>
      </c>
      <c r="GB26" s="83">
        <f t="shared" si="191"/>
        <v>10.9157018641639</v>
      </c>
      <c r="GC26" s="84">
        <f>'Health - Mortality'!AN24-'Health - Mortality'!Y24</f>
        <v>885.94563680490728</v>
      </c>
      <c r="GD26" s="80">
        <f t="shared" si="140"/>
        <v>147.34783304098841</v>
      </c>
      <c r="GE26" s="80">
        <f t="shared" si="141"/>
        <v>738.59780376391882</v>
      </c>
      <c r="GF26" s="80">
        <f t="shared" si="142"/>
        <v>719.12661691356425</v>
      </c>
      <c r="GG26" s="23">
        <f t="shared" si="143"/>
        <v>4.9835474552109994E-4</v>
      </c>
      <c r="GH26" s="23">
        <f t="shared" si="144"/>
        <v>1.3139893442801237E-6</v>
      </c>
      <c r="GI26" s="23">
        <f t="shared" si="145"/>
        <v>2.9484191293456138E-6</v>
      </c>
      <c r="GJ26" s="26">
        <f t="shared" si="146"/>
        <v>0.26492624567095702</v>
      </c>
      <c r="GK26" s="28">
        <f t="shared" si="147"/>
        <v>9.4189046903487892</v>
      </c>
      <c r="GL26" s="29">
        <f t="shared" si="148"/>
        <v>6.7407653361570341E-2</v>
      </c>
      <c r="GM26" s="29">
        <f t="shared" si="149"/>
        <v>2.6759852017940791</v>
      </c>
      <c r="GN26" s="29">
        <f t="shared" si="150"/>
        <v>21.19409965367656</v>
      </c>
      <c r="GO26" s="23">
        <f t="shared" si="192"/>
        <v>12.162297545504439</v>
      </c>
      <c r="GP26" s="83">
        <f t="shared" si="193"/>
        <v>33.356397199180996</v>
      </c>
      <c r="GQ26" s="84">
        <f>'Health - Mortality'!AO24-'Health - Mortality'!Z24</f>
        <v>931.652102395371</v>
      </c>
      <c r="GR26" s="80">
        <f t="shared" si="151"/>
        <v>154.949595926808</v>
      </c>
      <c r="GS26" s="80">
        <f t="shared" si="152"/>
        <v>776.702506468563</v>
      </c>
      <c r="GT26" s="80">
        <f t="shared" si="153"/>
        <v>756.22678943620895</v>
      </c>
      <c r="GU26" s="23">
        <f t="shared" si="154"/>
        <v>5.2406516507929278E-4</v>
      </c>
      <c r="GV26" s="23">
        <f t="shared" si="155"/>
        <v>1.3817788408988654E-6</v>
      </c>
      <c r="GW26" s="23">
        <f t="shared" si="156"/>
        <v>3.100529836688457E-6</v>
      </c>
      <c r="GX26" s="26">
        <f t="shared" si="157"/>
        <v>0.27859394922829939</v>
      </c>
      <c r="GY26" s="28">
        <f t="shared" si="158"/>
        <v>9.9048316199986335</v>
      </c>
      <c r="GZ26" s="29">
        <f t="shared" si="159"/>
        <v>7.08852545381118E-2</v>
      </c>
      <c r="HA26" s="29">
        <f t="shared" si="160"/>
        <v>2.8140408797784437</v>
      </c>
      <c r="HB26" s="29">
        <f t="shared" si="161"/>
        <v>22.287515938263951</v>
      </c>
      <c r="HC26" s="23">
        <f t="shared" si="194"/>
        <v>12.78975775431519</v>
      </c>
      <c r="HD26" s="83">
        <f t="shared" si="195"/>
        <v>35.077273692579141</v>
      </c>
    </row>
    <row r="27" spans="2:212" x14ac:dyDescent="0.3">
      <c r="B27" s="6">
        <v>2044</v>
      </c>
      <c r="C27" s="84">
        <f>'Health - Mortality'!AA25-'Health - Mortality'!L25</f>
        <v>3326.642125119015</v>
      </c>
      <c r="D27" s="80">
        <f t="shared" si="0"/>
        <v>553.27718550195402</v>
      </c>
      <c r="E27" s="80">
        <f t="shared" si="1"/>
        <v>2773.3649396170608</v>
      </c>
      <c r="F27" s="80">
        <f t="shared" si="2"/>
        <v>2700.2524734435669</v>
      </c>
      <c r="G27" s="95">
        <f t="shared" si="3"/>
        <v>1.8712749640963919E-3</v>
      </c>
      <c r="H27" s="95">
        <f t="shared" si="4"/>
        <v>4.9339057872716183E-6</v>
      </c>
      <c r="I27" s="95">
        <f t="shared" si="5"/>
        <v>1.1071035141118625E-5</v>
      </c>
      <c r="J27" s="118">
        <f t="shared" si="6"/>
        <v>0.99477301121660999</v>
      </c>
      <c r="K27" s="28">
        <f t="shared" si="163"/>
        <v>35.367096821421811</v>
      </c>
      <c r="L27" s="29">
        <f t="shared" si="164"/>
        <v>0.253109366887034</v>
      </c>
      <c r="M27" s="29">
        <f t="shared" si="165"/>
        <v>10.048071494079265</v>
      </c>
      <c r="N27" s="29">
        <f t="shared" si="166"/>
        <v>80.576613908545411</v>
      </c>
      <c r="O27" s="23">
        <f t="shared" si="162"/>
        <v>45.668277682388108</v>
      </c>
      <c r="P27" s="83">
        <f t="shared" si="167"/>
        <v>126.24489159093352</v>
      </c>
      <c r="Q27" s="84">
        <f>'Health - Mortality'!AB25-'Health - Mortality'!M25</f>
        <v>606.24143382138459</v>
      </c>
      <c r="R27" s="80">
        <f t="shared" si="8"/>
        <v>100.82826514660478</v>
      </c>
      <c r="S27" s="80">
        <f t="shared" si="9"/>
        <v>505.4131686747798</v>
      </c>
      <c r="T27" s="80">
        <f t="shared" si="10"/>
        <v>492.08928090562262</v>
      </c>
      <c r="U27" s="23">
        <f t="shared" si="11"/>
        <v>3.4101787166759649E-4</v>
      </c>
      <c r="V27" s="23">
        <f t="shared" si="12"/>
        <v>8.9914634827398539E-7</v>
      </c>
      <c r="W27" s="23">
        <f t="shared" si="13"/>
        <v>2.0175660517130528E-6</v>
      </c>
      <c r="X27" s="26">
        <f t="shared" si="14"/>
        <v>0.18128569108563133</v>
      </c>
      <c r="Y27" s="28">
        <f t="shared" si="15"/>
        <v>6.4452377745175733</v>
      </c>
      <c r="Z27" s="29">
        <f t="shared" si="16"/>
        <v>4.6126207666455449E-2</v>
      </c>
      <c r="AA27" s="29">
        <f t="shared" si="17"/>
        <v>1.8311429485347668</v>
      </c>
      <c r="AB27" s="29">
        <f t="shared" si="18"/>
        <v>14.684140977936138</v>
      </c>
      <c r="AC27" s="23">
        <f t="shared" si="168"/>
        <v>8.3225069307187951</v>
      </c>
      <c r="AD27" s="83">
        <f t="shared" si="169"/>
        <v>23.006647908654934</v>
      </c>
      <c r="AE27" s="84">
        <f>'Health - Mortality'!AC25-'Health - Mortality'!N25</f>
        <v>460.70412339163863</v>
      </c>
      <c r="AF27" s="80">
        <f t="shared" si="19"/>
        <v>76.622934223846372</v>
      </c>
      <c r="AG27" s="80">
        <f t="shared" si="20"/>
        <v>384.08118916779227</v>
      </c>
      <c r="AH27" s="80">
        <f t="shared" si="21"/>
        <v>373.95589965043695</v>
      </c>
      <c r="AI27" s="23">
        <f t="shared" si="22"/>
        <v>2.5915143845775274E-4</v>
      </c>
      <c r="AJ27" s="23">
        <f t="shared" si="23"/>
        <v>6.8329283858286428E-7</v>
      </c>
      <c r="AK27" s="23">
        <f t="shared" si="24"/>
        <v>1.5332191885667916E-6</v>
      </c>
      <c r="AL27" s="26">
        <f t="shared" si="25"/>
        <v>0.13776535343122095</v>
      </c>
      <c r="AM27" s="28">
        <f t="shared" si="26"/>
        <v>4.8979621868515268</v>
      </c>
      <c r="AN27" s="29">
        <f t="shared" si="27"/>
        <v>3.5052922619300937E-2</v>
      </c>
      <c r="AO27" s="29">
        <f t="shared" si="28"/>
        <v>1.39154973554322</v>
      </c>
      <c r="AP27" s="29">
        <f t="shared" si="29"/>
        <v>11.158993627928897</v>
      </c>
      <c r="AQ27" s="23">
        <f t="shared" si="170"/>
        <v>6.3245648450140486</v>
      </c>
      <c r="AR27" s="83">
        <f t="shared" si="171"/>
        <v>17.483558472942946</v>
      </c>
      <c r="AS27" s="84">
        <f>'Health - Mortality'!AD25-'Health - Mortality'!O25</f>
        <v>169.68169723652892</v>
      </c>
      <c r="AT27" s="80">
        <f t="shared" si="30"/>
        <v>28.220953245718519</v>
      </c>
      <c r="AU27" s="80">
        <f t="shared" si="31"/>
        <v>141.46074399081039</v>
      </c>
      <c r="AV27" s="80">
        <f t="shared" si="32"/>
        <v>137.73150384928994</v>
      </c>
      <c r="AW27" s="23">
        <f t="shared" si="33"/>
        <v>9.5447932167557929E-5</v>
      </c>
      <c r="AX27" s="23">
        <f t="shared" si="34"/>
        <v>2.5166323172181584E-7</v>
      </c>
      <c r="AY27" s="23">
        <f t="shared" si="35"/>
        <v>5.6469916578208882E-7</v>
      </c>
      <c r="AZ27" s="26">
        <f t="shared" si="36"/>
        <v>5.0740286018078409E-2</v>
      </c>
      <c r="BA27" s="28">
        <f t="shared" si="37"/>
        <v>1.8039659179668448</v>
      </c>
      <c r="BB27" s="29">
        <f t="shared" si="38"/>
        <v>1.2910323787329153E-2</v>
      </c>
      <c r="BC27" s="29">
        <f t="shared" si="39"/>
        <v>0.51252096286382387</v>
      </c>
      <c r="BD27" s="29">
        <f t="shared" si="40"/>
        <v>4.1099631674643513</v>
      </c>
      <c r="BE27" s="23">
        <f t="shared" si="172"/>
        <v>2.3293972046179978</v>
      </c>
      <c r="BF27" s="83">
        <f t="shared" si="173"/>
        <v>6.4393603720823496</v>
      </c>
      <c r="BG27" s="84">
        <f>'Health - Mortality'!AE25-'Health - Mortality'!P25</f>
        <v>144.35088099498597</v>
      </c>
      <c r="BH27" s="80">
        <f t="shared" si="41"/>
        <v>24.008007521631452</v>
      </c>
      <c r="BI27" s="80">
        <f t="shared" si="42"/>
        <v>120.34287347335452</v>
      </c>
      <c r="BJ27" s="80">
        <f t="shared" si="43"/>
        <v>117.17035039845889</v>
      </c>
      <c r="BK27" s="23">
        <f t="shared" si="44"/>
        <v>8.1199052826131998E-5</v>
      </c>
      <c r="BL27" s="23">
        <f t="shared" si="45"/>
        <v>2.1409385811629426E-7</v>
      </c>
      <c r="BM27" s="23">
        <f t="shared" si="46"/>
        <v>4.8039843663368147E-7</v>
      </c>
      <c r="BN27" s="26">
        <f t="shared" si="47"/>
        <v>4.3165557086792247E-2</v>
      </c>
      <c r="BO27" s="28">
        <f t="shared" si="48"/>
        <v>1.5346620984138948</v>
      </c>
      <c r="BP27" s="29">
        <f t="shared" si="49"/>
        <v>1.0983014921365896E-2</v>
      </c>
      <c r="BQ27" s="29">
        <f t="shared" si="50"/>
        <v>0.43600962108872932</v>
      </c>
      <c r="BR27" s="29">
        <f t="shared" si="51"/>
        <v>3.4964101240301719</v>
      </c>
      <c r="BS27" s="23">
        <f t="shared" si="174"/>
        <v>1.9816547344239899</v>
      </c>
      <c r="BT27" s="83">
        <f t="shared" si="175"/>
        <v>5.4780648584541618</v>
      </c>
      <c r="BU27" s="84">
        <f>'Health - Mortality'!AF25-'Health - Mortality'!Q25</f>
        <v>74.562993213084965</v>
      </c>
      <c r="BV27" s="80">
        <f t="shared" si="52"/>
        <v>12.401094399675179</v>
      </c>
      <c r="BW27" s="80">
        <f t="shared" si="53"/>
        <v>62.161898813409785</v>
      </c>
      <c r="BX27" s="80">
        <f t="shared" si="54"/>
        <v>60.523163982896243</v>
      </c>
      <c r="BY27" s="23">
        <f t="shared" si="55"/>
        <v>4.1942552640147091E-5</v>
      </c>
      <c r="BZ27" s="23">
        <f t="shared" si="56"/>
        <v>1.1058802537022903E-7</v>
      </c>
      <c r="CA27" s="23">
        <f t="shared" si="57"/>
        <v>2.4814497232987463E-7</v>
      </c>
      <c r="CB27" s="26">
        <f t="shared" si="58"/>
        <v>2.2296733611298976E-2</v>
      </c>
      <c r="CC27" s="28">
        <f t="shared" si="59"/>
        <v>0.79271424489878006</v>
      </c>
      <c r="CD27" s="29">
        <f t="shared" si="60"/>
        <v>5.6731657014927493E-3</v>
      </c>
      <c r="CE27" s="29">
        <f t="shared" si="61"/>
        <v>0.22521637688659421</v>
      </c>
      <c r="CF27" s="29">
        <f t="shared" si="62"/>
        <v>1.8060354225152171</v>
      </c>
      <c r="CG27" s="23">
        <f t="shared" si="176"/>
        <v>1.0236037874868671</v>
      </c>
      <c r="CH27" s="83">
        <f t="shared" si="177"/>
        <v>2.8296392100020844</v>
      </c>
      <c r="CI27" s="84">
        <f>'Health - Mortality'!AG25-'Health - Mortality'!R25</f>
        <v>3288.8217010842809</v>
      </c>
      <c r="CJ27" s="80">
        <f t="shared" si="63"/>
        <v>546.98700550139881</v>
      </c>
      <c r="CK27" s="80">
        <f t="shared" si="64"/>
        <v>2741.834695582882</v>
      </c>
      <c r="CL27" s="80">
        <f t="shared" si="65"/>
        <v>2669.5534412947991</v>
      </c>
      <c r="CM27" s="23">
        <f t="shared" si="66"/>
        <v>1.8500005348172956E-3</v>
      </c>
      <c r="CN27" s="23">
        <f t="shared" si="67"/>
        <v>4.8778124649352502E-6</v>
      </c>
      <c r="CO27" s="23">
        <f t="shared" si="68"/>
        <v>1.0945169109308677E-5</v>
      </c>
      <c r="CP27" s="26">
        <f t="shared" si="69"/>
        <v>0.98346348777300385</v>
      </c>
      <c r="CQ27" s="28">
        <f t="shared" si="70"/>
        <v>34.965010108046883</v>
      </c>
      <c r="CR27" s="29">
        <f t="shared" si="71"/>
        <v>0.25023177945117836</v>
      </c>
      <c r="CS27" s="29">
        <f t="shared" si="72"/>
        <v>9.9338354836085543</v>
      </c>
      <c r="CT27" s="29">
        <f t="shared" si="73"/>
        <v>79.660542509613308</v>
      </c>
      <c r="CU27" s="23">
        <f t="shared" si="178"/>
        <v>45.149077371106614</v>
      </c>
      <c r="CV27" s="83">
        <f t="shared" si="179"/>
        <v>124.80961988071992</v>
      </c>
      <c r="CW27" s="84">
        <f>'Health - Mortality'!AH25-'Health - Mortality'!S25</f>
        <v>1201.0239869597228</v>
      </c>
      <c r="CX27" s="80">
        <f t="shared" si="74"/>
        <v>199.75072347213717</v>
      </c>
      <c r="CY27" s="80">
        <f t="shared" si="75"/>
        <v>1001.2732634875857</v>
      </c>
      <c r="CZ27" s="80">
        <f t="shared" si="76"/>
        <v>974.87732959463483</v>
      </c>
      <c r="DA27" s="23">
        <f t="shared" si="77"/>
        <v>6.7558998940908188E-4</v>
      </c>
      <c r="DB27" s="23">
        <f t="shared" si="78"/>
        <v>1.781297469652107E-6</v>
      </c>
      <c r="DC27" s="23">
        <f t="shared" si="79"/>
        <v>3.996997051338003E-6</v>
      </c>
      <c r="DD27" s="26">
        <f t="shared" si="80"/>
        <v>0.35914480822266348</v>
      </c>
      <c r="DE27" s="28">
        <f t="shared" si="81"/>
        <v>12.768650799831647</v>
      </c>
      <c r="DF27" s="29">
        <f t="shared" si="82"/>
        <v>9.138056019315309E-2</v>
      </c>
      <c r="DG27" s="29">
        <f t="shared" si="83"/>
        <v>3.6276745237943717</v>
      </c>
      <c r="DH27" s="29">
        <f t="shared" si="84"/>
        <v>29.090729466035743</v>
      </c>
      <c r="DI27" s="23">
        <f t="shared" si="180"/>
        <v>16.487705883819171</v>
      </c>
      <c r="DJ27" s="83">
        <f t="shared" si="181"/>
        <v>45.578435349854914</v>
      </c>
      <c r="DK27" s="84">
        <f>'Health - Mortality'!AI25-'Health - Mortality'!T25</f>
        <v>469.00824794708217</v>
      </c>
      <c r="DL27" s="80">
        <f t="shared" si="85"/>
        <v>78.004051425303402</v>
      </c>
      <c r="DM27" s="80">
        <f t="shared" si="86"/>
        <v>391.00419652177874</v>
      </c>
      <c r="DN27" s="80">
        <f t="shared" si="87"/>
        <v>380.69640013929478</v>
      </c>
      <c r="DO27" s="23">
        <f t="shared" si="88"/>
        <v>2.6382260529653125E-4</v>
      </c>
      <c r="DP27" s="23">
        <f t="shared" si="89"/>
        <v>6.956090922288321E-7</v>
      </c>
      <c r="DQ27" s="23">
        <f t="shared" si="90"/>
        <v>1.5608552405711088E-6</v>
      </c>
      <c r="DR27" s="26">
        <f t="shared" si="91"/>
        <v>0.14024855381131618</v>
      </c>
      <c r="DS27" s="28">
        <f t="shared" si="92"/>
        <v>4.9862472401044409</v>
      </c>
      <c r="DT27" s="29">
        <f t="shared" si="93"/>
        <v>3.5684746431339086E-2</v>
      </c>
      <c r="DU27" s="29">
        <f t="shared" si="94"/>
        <v>1.4166322163423384</v>
      </c>
      <c r="DV27" s="29">
        <f t="shared" si="95"/>
        <v>11.360132858716611</v>
      </c>
      <c r="DW27" s="23">
        <f t="shared" si="182"/>
        <v>6.4385642028781183</v>
      </c>
      <c r="DX27" s="83">
        <f t="shared" si="183"/>
        <v>17.79869706159473</v>
      </c>
      <c r="DY27" s="84">
        <f>'Health - Mortality'!AJ25-'Health - Mortality'!U25</f>
        <v>775.09360613374793</v>
      </c>
      <c r="DZ27" s="80">
        <f t="shared" si="96"/>
        <v>128.9112542837465</v>
      </c>
      <c r="EA27" s="80">
        <f t="shared" si="97"/>
        <v>646.1823518500014</v>
      </c>
      <c r="EB27" s="80">
        <f t="shared" si="98"/>
        <v>629.14745511979868</v>
      </c>
      <c r="EC27" s="23">
        <f t="shared" si="99"/>
        <v>4.3599918639802046E-4</v>
      </c>
      <c r="ED27" s="23">
        <f t="shared" si="100"/>
        <v>1.1495792709724404E-6</v>
      </c>
      <c r="EE27" s="23">
        <f t="shared" si="101"/>
        <v>2.5795045659911746E-6</v>
      </c>
      <c r="EF27" s="26">
        <f t="shared" si="102"/>
        <v>0.2317779224661338</v>
      </c>
      <c r="EG27" s="28">
        <f t="shared" si="103"/>
        <v>8.240384622922587</v>
      </c>
      <c r="EH27" s="29">
        <f t="shared" si="104"/>
        <v>5.8973416600886189E-2</v>
      </c>
      <c r="EI27" s="29">
        <f t="shared" si="105"/>
        <v>2.3411583440935901</v>
      </c>
      <c r="EJ27" s="29">
        <f t="shared" si="106"/>
        <v>18.774011719756839</v>
      </c>
      <c r="EK27" s="23">
        <f t="shared" si="184"/>
        <v>10.640516383617065</v>
      </c>
      <c r="EL27" s="83">
        <f t="shared" si="185"/>
        <v>29.414528103373904</v>
      </c>
      <c r="EM27" s="84">
        <f>'Health - Mortality'!AK25-'Health - Mortality'!V25</f>
        <v>112.05883391672594</v>
      </c>
      <c r="EN27" s="80">
        <f t="shared" si="107"/>
        <v>18.637290669749735</v>
      </c>
      <c r="EO27" s="80">
        <f t="shared" si="108"/>
        <v>93.421543246976213</v>
      </c>
      <c r="EP27" s="80">
        <f t="shared" si="109"/>
        <v>90.958730177210057</v>
      </c>
      <c r="EQ27" s="23">
        <f t="shared" si="110"/>
        <v>6.3034400012806563E-5</v>
      </c>
      <c r="ER27" s="23">
        <f t="shared" si="111"/>
        <v>1.6619994227869128E-7</v>
      </c>
      <c r="ES27" s="23">
        <f t="shared" si="112"/>
        <v>3.7293079372656131E-7</v>
      </c>
      <c r="ET27" s="26">
        <f t="shared" si="113"/>
        <v>3.350919619728418E-2</v>
      </c>
      <c r="EU27" s="28">
        <f t="shared" si="114"/>
        <v>1.191350160242044</v>
      </c>
      <c r="EV27" s="29">
        <f t="shared" si="115"/>
        <v>8.5260570388968632E-3</v>
      </c>
      <c r="EW27" s="29">
        <f t="shared" si="116"/>
        <v>0.33847198838622705</v>
      </c>
      <c r="EX27" s="29">
        <f t="shared" si="117"/>
        <v>2.7142448919800186</v>
      </c>
      <c r="EY27" s="23">
        <f t="shared" si="186"/>
        <v>1.538348205667168</v>
      </c>
      <c r="EZ27" s="83">
        <f t="shared" si="187"/>
        <v>4.2525930976471864</v>
      </c>
      <c r="FA27" s="84">
        <f>'Health - Mortality'!AL25-'Health - Mortality'!W25</f>
        <v>531.72221259569403</v>
      </c>
      <c r="FB27" s="80">
        <f t="shared" si="118"/>
        <v>88.434450773177844</v>
      </c>
      <c r="FC27" s="80">
        <f t="shared" si="119"/>
        <v>443.28776182251619</v>
      </c>
      <c r="FD27" s="80">
        <f t="shared" si="120"/>
        <v>431.60164686937645</v>
      </c>
      <c r="FE27" s="23">
        <f t="shared" si="121"/>
        <v>2.9909994128047787E-4</v>
      </c>
      <c r="FF27" s="23">
        <f t="shared" si="122"/>
        <v>7.8862324328106267E-7</v>
      </c>
      <c r="FG27" s="23">
        <f t="shared" si="123"/>
        <v>1.7695667521644437E-6</v>
      </c>
      <c r="FH27" s="26">
        <f t="shared" si="124"/>
        <v>0.15900204670667828</v>
      </c>
      <c r="FI27" s="28">
        <f t="shared" si="125"/>
        <v>5.6529888902010317</v>
      </c>
      <c r="FJ27" s="29">
        <f t="shared" si="126"/>
        <v>4.0456372380318517E-2</v>
      </c>
      <c r="FK27" s="29">
        <f t="shared" si="127"/>
        <v>1.6060587842644491</v>
      </c>
      <c r="FL27" s="29">
        <f t="shared" si="128"/>
        <v>12.879165783240941</v>
      </c>
      <c r="FM27" s="23">
        <f t="shared" si="188"/>
        <v>7.299504046845799</v>
      </c>
      <c r="FN27" s="83">
        <f t="shared" si="189"/>
        <v>20.17866983008674</v>
      </c>
      <c r="FO27" s="84">
        <f>'Health - Mortality'!AM25-'Health - Mortality'!X25</f>
        <v>316.80631155449055</v>
      </c>
      <c r="FP27" s="80">
        <f t="shared" si="129"/>
        <v>52.690279811764483</v>
      </c>
      <c r="FQ27" s="80">
        <f t="shared" si="130"/>
        <v>264.11603174272608</v>
      </c>
      <c r="FR27" s="80">
        <f t="shared" si="131"/>
        <v>257.15330781093303</v>
      </c>
      <c r="FS27" s="23">
        <f t="shared" si="132"/>
        <v>1.7820724231297657E-4</v>
      </c>
      <c r="FT27" s="23">
        <f t="shared" si="133"/>
        <v>4.6987094951398013E-7</v>
      </c>
      <c r="FU27" s="23">
        <f t="shared" si="134"/>
        <v>1.0543285620248255E-6</v>
      </c>
      <c r="FV27" s="26">
        <f t="shared" si="135"/>
        <v>9.4735278597547712E-2</v>
      </c>
      <c r="FW27" s="28">
        <f t="shared" si="136"/>
        <v>3.3681168797152572</v>
      </c>
      <c r="FX27" s="29">
        <f t="shared" si="137"/>
        <v>2.4104379710067181E-2</v>
      </c>
      <c r="FY27" s="29">
        <f t="shared" si="138"/>
        <v>0.9569086028937317</v>
      </c>
      <c r="FZ27" s="29">
        <f t="shared" si="139"/>
        <v>7.6735575664013647</v>
      </c>
      <c r="GA27" s="23">
        <f t="shared" si="190"/>
        <v>4.3491298623190566</v>
      </c>
      <c r="GB27" s="83">
        <f t="shared" si="191"/>
        <v>12.02268742872042</v>
      </c>
      <c r="GC27" s="84">
        <f>'Health - Mortality'!AN25-'Health - Mortality'!Y25</f>
        <v>968.10239917893796</v>
      </c>
      <c r="GD27" s="80">
        <f t="shared" si="140"/>
        <v>161.01190045389967</v>
      </c>
      <c r="GE27" s="80">
        <f t="shared" si="141"/>
        <v>807.09049872503829</v>
      </c>
      <c r="GF27" s="80">
        <f t="shared" si="142"/>
        <v>785.81368226858945</v>
      </c>
      <c r="GG27" s="23">
        <f t="shared" si="143"/>
        <v>5.4456888181213237E-4</v>
      </c>
      <c r="GH27" s="23">
        <f t="shared" si="144"/>
        <v>1.4358400604362014E-6</v>
      </c>
      <c r="GI27" s="23">
        <f t="shared" si="145"/>
        <v>3.221836097301217E-6</v>
      </c>
      <c r="GJ27" s="26">
        <f t="shared" si="146"/>
        <v>0.28949376054774834</v>
      </c>
      <c r="GK27" s="28">
        <f t="shared" si="147"/>
        <v>10.292351866249302</v>
      </c>
      <c r="GL27" s="29">
        <f t="shared" si="148"/>
        <v>7.3658595100377131E-2</v>
      </c>
      <c r="GM27" s="29">
        <f t="shared" si="149"/>
        <v>2.9241384419105847</v>
      </c>
      <c r="GN27" s="29">
        <f t="shared" si="150"/>
        <v>23.448994604367616</v>
      </c>
      <c r="GO27" s="23">
        <f t="shared" si="192"/>
        <v>13.290148903260263</v>
      </c>
      <c r="GP27" s="83">
        <f t="shared" si="193"/>
        <v>36.73914350762788</v>
      </c>
      <c r="GQ27" s="84">
        <f>'Health - Mortality'!AO25-'Health - Mortality'!Z25</f>
        <v>1018.0473813063927</v>
      </c>
      <c r="GR27" s="80">
        <f t="shared" si="151"/>
        <v>169.31860075471272</v>
      </c>
      <c r="GS27" s="80">
        <f t="shared" si="152"/>
        <v>848.72878055167996</v>
      </c>
      <c r="GT27" s="80">
        <f t="shared" si="153"/>
        <v>826.3542804012875</v>
      </c>
      <c r="GU27" s="23">
        <f t="shared" si="154"/>
        <v>5.7266351631809218E-4</v>
      </c>
      <c r="GV27" s="23">
        <f t="shared" si="155"/>
        <v>1.5099159084221073E-6</v>
      </c>
      <c r="GW27" s="23">
        <f t="shared" si="156"/>
        <v>3.388052549645279E-6</v>
      </c>
      <c r="GX27" s="26">
        <f t="shared" si="157"/>
        <v>0.30442891689983431</v>
      </c>
      <c r="GY27" s="28">
        <f t="shared" si="158"/>
        <v>10.823340458411943</v>
      </c>
      <c r="GZ27" s="29">
        <f t="shared" si="159"/>
        <v>7.74586861020541E-2</v>
      </c>
      <c r="HA27" s="29">
        <f t="shared" si="160"/>
        <v>3.074996494058055</v>
      </c>
      <c r="HB27" s="29">
        <f t="shared" si="161"/>
        <v>24.658742268886581</v>
      </c>
      <c r="HC27" s="23">
        <f t="shared" si="194"/>
        <v>13.975795638572052</v>
      </c>
      <c r="HD27" s="83">
        <f t="shared" si="195"/>
        <v>38.634537907458636</v>
      </c>
    </row>
    <row r="28" spans="2:212" x14ac:dyDescent="0.3">
      <c r="B28" s="6">
        <v>2045</v>
      </c>
      <c r="C28" s="84">
        <f>'Health - Mortality'!AA26-'Health - Mortality'!L26</f>
        <v>3621.2270967361083</v>
      </c>
      <c r="D28" s="80">
        <f t="shared" si="0"/>
        <v>602.2716784042068</v>
      </c>
      <c r="E28" s="80">
        <f t="shared" si="1"/>
        <v>3018.9554183319015</v>
      </c>
      <c r="F28" s="80">
        <f t="shared" si="2"/>
        <v>2939.3686056665069</v>
      </c>
      <c r="G28" s="95">
        <f t="shared" si="3"/>
        <v>2.0369824437268891E-3</v>
      </c>
      <c r="H28" s="95">
        <f t="shared" si="4"/>
        <v>5.3708191797071875E-6</v>
      </c>
      <c r="I28" s="95">
        <f t="shared" si="5"/>
        <v>1.2051411283232681E-5</v>
      </c>
      <c r="J28" s="118">
        <f t="shared" si="6"/>
        <v>1.0828633943275412</v>
      </c>
      <c r="K28" s="28">
        <f t="shared" si="163"/>
        <v>38.498968186438205</v>
      </c>
      <c r="L28" s="29">
        <f t="shared" si="164"/>
        <v>0.2755230239189787</v>
      </c>
      <c r="M28" s="29">
        <f t="shared" si="165"/>
        <v>10.937860880661981</v>
      </c>
      <c r="N28" s="29">
        <f t="shared" si="166"/>
        <v>88.794798334858385</v>
      </c>
      <c r="O28" s="23">
        <f t="shared" si="162"/>
        <v>49.712352091019163</v>
      </c>
      <c r="P28" s="83">
        <f t="shared" si="167"/>
        <v>138.50715042587754</v>
      </c>
      <c r="Q28" s="84">
        <f>'Health - Mortality'!AB26-'Health - Mortality'!M26</f>
        <v>659.92608304375574</v>
      </c>
      <c r="R28" s="80">
        <f t="shared" si="8"/>
        <v>109.75693571267912</v>
      </c>
      <c r="S28" s="80">
        <f t="shared" si="9"/>
        <v>550.1691473310766</v>
      </c>
      <c r="T28" s="80">
        <f t="shared" si="10"/>
        <v>535.6653859979225</v>
      </c>
      <c r="U28" s="23">
        <f t="shared" si="11"/>
        <v>3.7121611249656025E-4</v>
      </c>
      <c r="V28" s="23">
        <f t="shared" si="12"/>
        <v>9.7876867959897813E-7</v>
      </c>
      <c r="W28" s="23">
        <f t="shared" si="13"/>
        <v>2.1962280825914825E-6</v>
      </c>
      <c r="X28" s="26">
        <f t="shared" si="14"/>
        <v>0.19733912820163463</v>
      </c>
      <c r="Y28" s="28">
        <f t="shared" si="15"/>
        <v>7.0159845261849885</v>
      </c>
      <c r="Z28" s="29">
        <f t="shared" si="16"/>
        <v>5.0210833263427575E-2</v>
      </c>
      <c r="AA28" s="29">
        <f t="shared" si="17"/>
        <v>1.9932966077600296</v>
      </c>
      <c r="AB28" s="29">
        <f t="shared" si="18"/>
        <v>16.18180851253404</v>
      </c>
      <c r="AC28" s="23">
        <f t="shared" si="168"/>
        <v>9.0594919672084462</v>
      </c>
      <c r="AD28" s="83">
        <f t="shared" si="169"/>
        <v>25.241300479742485</v>
      </c>
      <c r="AE28" s="84">
        <f>'Health - Mortality'!AC26-'Health - Mortality'!N26</f>
        <v>501.50097078572026</v>
      </c>
      <c r="AF28" s="80">
        <f t="shared" si="19"/>
        <v>83.408144070469916</v>
      </c>
      <c r="AG28" s="80">
        <f t="shared" si="20"/>
        <v>418.09282671525034</v>
      </c>
      <c r="AH28" s="80">
        <f t="shared" si="21"/>
        <v>407.0709099043961</v>
      </c>
      <c r="AI28" s="23">
        <f t="shared" si="22"/>
        <v>2.8210014056374649E-4</v>
      </c>
      <c r="AJ28" s="23">
        <f t="shared" si="23"/>
        <v>7.4380064011047678E-7</v>
      </c>
      <c r="AK28" s="23">
        <f t="shared" si="24"/>
        <v>1.668990730608024E-6</v>
      </c>
      <c r="AL28" s="26">
        <f t="shared" si="25"/>
        <v>0.14996492320877952</v>
      </c>
      <c r="AM28" s="28">
        <f t="shared" si="26"/>
        <v>5.3316926566548082</v>
      </c>
      <c r="AN28" s="29">
        <f t="shared" si="27"/>
        <v>3.8156972837667461E-2</v>
      </c>
      <c r="AO28" s="29">
        <f t="shared" si="28"/>
        <v>1.5147759870998425</v>
      </c>
      <c r="AP28" s="29">
        <f t="shared" si="29"/>
        <v>12.297123703119921</v>
      </c>
      <c r="AQ28" s="23">
        <f t="shared" si="170"/>
        <v>6.8846256165923183</v>
      </c>
      <c r="AR28" s="83">
        <f t="shared" si="171"/>
        <v>19.181749319712239</v>
      </c>
      <c r="AS28" s="84">
        <f>'Health - Mortality'!AD26-'Health - Mortality'!O26</f>
        <v>184.70756298473424</v>
      </c>
      <c r="AT28" s="80">
        <f t="shared" si="30"/>
        <v>30.720010372460045</v>
      </c>
      <c r="AU28" s="80">
        <f t="shared" si="31"/>
        <v>153.98755261227419</v>
      </c>
      <c r="AV28" s="80">
        <f t="shared" si="32"/>
        <v>149.92807613635881</v>
      </c>
      <c r="AW28" s="23">
        <f t="shared" si="33"/>
        <v>1.0390015676249665E-4</v>
      </c>
      <c r="AX28" s="23">
        <f t="shared" si="34"/>
        <v>2.7394882878500591E-7</v>
      </c>
      <c r="AY28" s="23">
        <f t="shared" si="35"/>
        <v>6.1470511215907123E-7</v>
      </c>
      <c r="AZ28" s="26">
        <f t="shared" si="36"/>
        <v>5.5233503248634581E-2</v>
      </c>
      <c r="BA28" s="28">
        <f t="shared" si="37"/>
        <v>1.9637129628111867</v>
      </c>
      <c r="BB28" s="29">
        <f t="shared" si="38"/>
        <v>1.4053574916670803E-2</v>
      </c>
      <c r="BC28" s="29">
        <f t="shared" si="39"/>
        <v>0.55790635979557301</v>
      </c>
      <c r="BD28" s="29">
        <f t="shared" si="40"/>
        <v>4.5291472663880361</v>
      </c>
      <c r="BE28" s="23">
        <f t="shared" si="172"/>
        <v>2.5356728975234306</v>
      </c>
      <c r="BF28" s="83">
        <f t="shared" si="173"/>
        <v>7.0648201639114667</v>
      </c>
      <c r="BG28" s="84">
        <f>'Health - Mortality'!AE26-'Health - Mortality'!P26</f>
        <v>157.13362064098527</v>
      </c>
      <c r="BH28" s="80">
        <f t="shared" si="41"/>
        <v>26.133994612620302</v>
      </c>
      <c r="BI28" s="80">
        <f t="shared" si="42"/>
        <v>130.99962602836496</v>
      </c>
      <c r="BJ28" s="80">
        <f t="shared" si="43"/>
        <v>127.54616572462953</v>
      </c>
      <c r="BK28" s="23">
        <f t="shared" si="44"/>
        <v>8.8389492847168252E-5</v>
      </c>
      <c r="BL28" s="23">
        <f t="shared" si="45"/>
        <v>2.330525650479351E-7</v>
      </c>
      <c r="BM28" s="23">
        <f t="shared" si="46"/>
        <v>5.2293927947098121E-7</v>
      </c>
      <c r="BN28" s="26">
        <f t="shared" si="47"/>
        <v>4.698800745295352E-2</v>
      </c>
      <c r="BO28" s="28">
        <f t="shared" si="48"/>
        <v>1.67056141481148</v>
      </c>
      <c r="BP28" s="29">
        <f t="shared" si="49"/>
        <v>1.1955596586959071E-2</v>
      </c>
      <c r="BQ28" s="29">
        <f t="shared" si="50"/>
        <v>0.47461969004786253</v>
      </c>
      <c r="BR28" s="29">
        <f t="shared" si="51"/>
        <v>3.8530166111421886</v>
      </c>
      <c r="BS28" s="23">
        <f t="shared" si="174"/>
        <v>2.1571367014463014</v>
      </c>
      <c r="BT28" s="83">
        <f t="shared" si="175"/>
        <v>6.0101533125884901</v>
      </c>
      <c r="BU28" s="84">
        <f>'Health - Mortality'!AF26-'Health - Mortality'!Q26</f>
        <v>81.165788588489605</v>
      </c>
      <c r="BV28" s="80">
        <f t="shared" si="52"/>
        <v>13.499251611767388</v>
      </c>
      <c r="BW28" s="80">
        <f t="shared" si="53"/>
        <v>67.666536976722213</v>
      </c>
      <c r="BX28" s="80">
        <f t="shared" si="54"/>
        <v>65.882686851151959</v>
      </c>
      <c r="BY28" s="23">
        <f t="shared" si="55"/>
        <v>4.5656701987848301E-5</v>
      </c>
      <c r="BZ28" s="23">
        <f t="shared" si="56"/>
        <v>1.2038095442288863E-7</v>
      </c>
      <c r="CA28" s="23">
        <f t="shared" si="57"/>
        <v>2.7011901608972304E-7</v>
      </c>
      <c r="CB28" s="26">
        <f t="shared" si="58"/>
        <v>2.427118183596438E-2</v>
      </c>
      <c r="CC28" s="28">
        <f t="shared" si="59"/>
        <v>0.86291166757033289</v>
      </c>
      <c r="CD28" s="29">
        <f t="shared" si="60"/>
        <v>6.1755429618941867E-3</v>
      </c>
      <c r="CE28" s="29">
        <f t="shared" si="61"/>
        <v>0.24516001900303264</v>
      </c>
      <c r="CF28" s="29">
        <f t="shared" si="62"/>
        <v>1.9902369105490791</v>
      </c>
      <c r="CG28" s="23">
        <f t="shared" si="176"/>
        <v>1.1142472295352597</v>
      </c>
      <c r="CH28" s="83">
        <f t="shared" si="177"/>
        <v>3.104484140084339</v>
      </c>
      <c r="CI28" s="84">
        <f>'Health - Mortality'!AG26-'Health - Mortality'!R26</f>
        <v>3580.0575512384157</v>
      </c>
      <c r="CJ28" s="80">
        <f t="shared" si="63"/>
        <v>595.4244825217994</v>
      </c>
      <c r="CK28" s="80">
        <f t="shared" si="64"/>
        <v>2984.6330687166164</v>
      </c>
      <c r="CL28" s="80">
        <f t="shared" si="65"/>
        <v>2905.9510744504873</v>
      </c>
      <c r="CM28" s="23">
        <f t="shared" si="66"/>
        <v>2.0138240945941875E-3</v>
      </c>
      <c r="CN28" s="23">
        <f t="shared" si="67"/>
        <v>5.3097586113771519E-6</v>
      </c>
      <c r="CO28" s="23">
        <f t="shared" si="68"/>
        <v>1.1914399405246999E-5</v>
      </c>
      <c r="CP28" s="26">
        <f t="shared" si="69"/>
        <v>1.0705523758275595</v>
      </c>
      <c r="CQ28" s="28">
        <f t="shared" si="70"/>
        <v>38.061275387830143</v>
      </c>
      <c r="CR28" s="29">
        <f t="shared" si="71"/>
        <v>0.2723906167636479</v>
      </c>
      <c r="CS28" s="29">
        <f t="shared" si="72"/>
        <v>10.813508900202176</v>
      </c>
      <c r="CT28" s="29">
        <f t="shared" si="73"/>
        <v>87.785294817859878</v>
      </c>
      <c r="CU28" s="23">
        <f t="shared" si="178"/>
        <v>49.147174904795975</v>
      </c>
      <c r="CV28" s="83">
        <f t="shared" si="179"/>
        <v>136.93246972265587</v>
      </c>
      <c r="CW28" s="84">
        <f>'Health - Mortality'!AH26-'Health - Mortality'!S26</f>
        <v>1307.3785642791331</v>
      </c>
      <c r="CX28" s="80">
        <f t="shared" si="74"/>
        <v>217.4392992164932</v>
      </c>
      <c r="CY28" s="80">
        <f t="shared" si="75"/>
        <v>1089.9392650626398</v>
      </c>
      <c r="CZ28" s="80">
        <f t="shared" si="76"/>
        <v>1061.2058854378661</v>
      </c>
      <c r="DA28" s="23">
        <f t="shared" si="77"/>
        <v>7.3541567860844115E-4</v>
      </c>
      <c r="DB28" s="23">
        <f t="shared" si="78"/>
        <v>1.9390371497267381E-6</v>
      </c>
      <c r="DC28" s="23">
        <f t="shared" si="79"/>
        <v>4.350944130295251E-6</v>
      </c>
      <c r="DD28" s="26">
        <f t="shared" si="80"/>
        <v>0.39094824819530982</v>
      </c>
      <c r="DE28" s="28">
        <f t="shared" si="81"/>
        <v>13.899356325699538</v>
      </c>
      <c r="DF28" s="29">
        <f t="shared" si="82"/>
        <v>9.947260578098166E-2</v>
      </c>
      <c r="DG28" s="29">
        <f t="shared" si="83"/>
        <v>3.9489168926559697</v>
      </c>
      <c r="DH28" s="29">
        <f t="shared" si="84"/>
        <v>32.057756352015403</v>
      </c>
      <c r="DI28" s="23">
        <f t="shared" si="180"/>
        <v>17.94774582413649</v>
      </c>
      <c r="DJ28" s="83">
        <f t="shared" si="181"/>
        <v>50.005502176151893</v>
      </c>
      <c r="DK28" s="84">
        <f>'Health - Mortality'!AI26-'Health - Mortality'!T26</f>
        <v>510.54045255858091</v>
      </c>
      <c r="DL28" s="80">
        <f t="shared" si="85"/>
        <v>84.911563688684964</v>
      </c>
      <c r="DM28" s="80">
        <f t="shared" si="86"/>
        <v>425.62888886989595</v>
      </c>
      <c r="DN28" s="80">
        <f t="shared" si="87"/>
        <v>414.40830361786675</v>
      </c>
      <c r="DO28" s="23">
        <f t="shared" si="88"/>
        <v>2.8718495440718166E-4</v>
      </c>
      <c r="DP28" s="23">
        <f t="shared" si="89"/>
        <v>7.5720753804406726E-7</v>
      </c>
      <c r="DQ28" s="23">
        <f t="shared" si="90"/>
        <v>1.6990740448332537E-6</v>
      </c>
      <c r="DR28" s="26">
        <f t="shared" si="91"/>
        <v>0.15266801905282212</v>
      </c>
      <c r="DS28" s="28">
        <f t="shared" si="92"/>
        <v>5.4277956382957333</v>
      </c>
      <c r="DT28" s="29">
        <f t="shared" si="93"/>
        <v>3.8844746701660653E-2</v>
      </c>
      <c r="DU28" s="29">
        <f t="shared" si="94"/>
        <v>1.5420796030906609</v>
      </c>
      <c r="DV28" s="29">
        <f t="shared" si="95"/>
        <v>12.518777562331413</v>
      </c>
      <c r="DW28" s="23">
        <f t="shared" si="182"/>
        <v>7.0087199880880551</v>
      </c>
      <c r="DX28" s="83">
        <f t="shared" si="183"/>
        <v>19.527497550419469</v>
      </c>
      <c r="DY28" s="84">
        <f>'Health - Mortality'!AJ26-'Health - Mortality'!U26</f>
        <v>843.73066397637103</v>
      </c>
      <c r="DZ28" s="80">
        <f t="shared" si="96"/>
        <v>140.32676480637079</v>
      </c>
      <c r="EA28" s="80">
        <f t="shared" si="97"/>
        <v>703.40389917000027</v>
      </c>
      <c r="EB28" s="80">
        <f t="shared" si="98"/>
        <v>684.86050697168719</v>
      </c>
      <c r="EC28" s="23">
        <f t="shared" si="99"/>
        <v>4.7460833133137917E-4</v>
      </c>
      <c r="ED28" s="23">
        <f t="shared" si="100"/>
        <v>1.2513782514981559E-6</v>
      </c>
      <c r="EE28" s="23">
        <f t="shared" si="101"/>
        <v>2.8079280785839177E-6</v>
      </c>
      <c r="EF28" s="26">
        <f t="shared" si="102"/>
        <v>0.25230261076836952</v>
      </c>
      <c r="EG28" s="28">
        <f t="shared" si="103"/>
        <v>8.970097462163066</v>
      </c>
      <c r="EH28" s="29">
        <f t="shared" si="104"/>
        <v>6.4195704301855394E-2</v>
      </c>
      <c r="EI28" s="29">
        <f t="shared" si="105"/>
        <v>2.5484755241227637</v>
      </c>
      <c r="EJ28" s="29">
        <f t="shared" si="106"/>
        <v>20.688814083006299</v>
      </c>
      <c r="EK28" s="23">
        <f t="shared" si="184"/>
        <v>11.582768690587685</v>
      </c>
      <c r="EL28" s="83">
        <f t="shared" si="185"/>
        <v>32.271582773593984</v>
      </c>
      <c r="EM28" s="84">
        <f>'Health - Mortality'!AK26-'Health - Mortality'!V26</f>
        <v>121.9820078462397</v>
      </c>
      <c r="EN28" s="80">
        <f t="shared" si="107"/>
        <v>20.287683328915413</v>
      </c>
      <c r="EO28" s="80">
        <f t="shared" si="108"/>
        <v>101.69432451732429</v>
      </c>
      <c r="EP28" s="80">
        <f t="shared" si="109"/>
        <v>99.013421346198243</v>
      </c>
      <c r="EQ28" s="23">
        <f t="shared" si="110"/>
        <v>6.8616300992915374E-5</v>
      </c>
      <c r="ER28" s="23">
        <f t="shared" si="111"/>
        <v>1.8091748730983258E-7</v>
      </c>
      <c r="ES28" s="23">
        <f t="shared" si="112"/>
        <v>4.0595502751941281E-7</v>
      </c>
      <c r="ET28" s="26">
        <f t="shared" si="113"/>
        <v>3.6476544423939425E-2</v>
      </c>
      <c r="EU28" s="28">
        <f t="shared" si="114"/>
        <v>1.2968480887661005</v>
      </c>
      <c r="EV28" s="29">
        <f t="shared" si="115"/>
        <v>9.2810670989944121E-3</v>
      </c>
      <c r="EW28" s="29">
        <f t="shared" si="116"/>
        <v>0.36844478297661909</v>
      </c>
      <c r="EX28" s="29">
        <f t="shared" si="117"/>
        <v>2.9910766427630326</v>
      </c>
      <c r="EY28" s="23">
        <f t="shared" si="186"/>
        <v>1.674573938841714</v>
      </c>
      <c r="EZ28" s="83">
        <f t="shared" si="187"/>
        <v>4.6656505816047469</v>
      </c>
      <c r="FA28" s="84">
        <f>'Health - Mortality'!AL26-'Health - Mortality'!W26</f>
        <v>578.80794259440165</v>
      </c>
      <c r="FB28" s="80">
        <f t="shared" si="118"/>
        <v>96.265608797144083</v>
      </c>
      <c r="FC28" s="80">
        <f t="shared" si="119"/>
        <v>482.54233379725758</v>
      </c>
      <c r="FD28" s="80">
        <f t="shared" si="120"/>
        <v>469.82137538566752</v>
      </c>
      <c r="FE28" s="23">
        <f t="shared" si="121"/>
        <v>3.2558621314226756E-4</v>
      </c>
      <c r="FF28" s="23">
        <f t="shared" si="122"/>
        <v>8.5845839446379508E-7</v>
      </c>
      <c r="FG28" s="23">
        <f t="shared" si="123"/>
        <v>1.9262676390812369E-6</v>
      </c>
      <c r="FH28" s="26">
        <f t="shared" si="124"/>
        <v>0.17308219469207992</v>
      </c>
      <c r="FI28" s="28">
        <f t="shared" si="125"/>
        <v>6.1535794283888565</v>
      </c>
      <c r="FJ28" s="29">
        <f t="shared" si="126"/>
        <v>4.4038915635992687E-2</v>
      </c>
      <c r="FK28" s="29">
        <f t="shared" si="127"/>
        <v>1.7482805092301306</v>
      </c>
      <c r="FL28" s="29">
        <f t="shared" si="128"/>
        <v>14.192739964750553</v>
      </c>
      <c r="FM28" s="23">
        <f t="shared" si="188"/>
        <v>7.9458988532549792</v>
      </c>
      <c r="FN28" s="83">
        <f t="shared" si="189"/>
        <v>22.138638818005532</v>
      </c>
      <c r="FO28" s="84">
        <f>'Health - Mortality'!AM26-'Health - Mortality'!X26</f>
        <v>344.86054004895379</v>
      </c>
      <c r="FP28" s="80">
        <f t="shared" si="129"/>
        <v>57.356175330144005</v>
      </c>
      <c r="FQ28" s="80">
        <f t="shared" si="130"/>
        <v>287.50436471880977</v>
      </c>
      <c r="FR28" s="80">
        <f t="shared" si="131"/>
        <v>279.92506895431575</v>
      </c>
      <c r="FS28" s="23">
        <f t="shared" si="132"/>
        <v>1.939880727853408E-4</v>
      </c>
      <c r="FT28" s="23">
        <f t="shared" si="133"/>
        <v>5.1147954915296899E-7</v>
      </c>
      <c r="FU28" s="23">
        <f t="shared" si="134"/>
        <v>1.1476927827126947E-6</v>
      </c>
      <c r="FV28" s="26">
        <f t="shared" si="135"/>
        <v>0.10312439540276992</v>
      </c>
      <c r="FW28" s="28">
        <f t="shared" si="136"/>
        <v>3.6663745756429411</v>
      </c>
      <c r="FX28" s="29">
        <f t="shared" si="137"/>
        <v>2.6238900871547309E-2</v>
      </c>
      <c r="FY28" s="29">
        <f t="shared" si="138"/>
        <v>1.0416459695900417</v>
      </c>
      <c r="FZ28" s="29">
        <f t="shared" si="139"/>
        <v>8.4562004230271341</v>
      </c>
      <c r="GA28" s="23">
        <f t="shared" si="190"/>
        <v>4.73425944610453</v>
      </c>
      <c r="GB28" s="83">
        <f t="shared" si="191"/>
        <v>13.190459869131665</v>
      </c>
      <c r="GC28" s="84">
        <f>'Health - Mortality'!AN26-'Health - Mortality'!Y26</f>
        <v>1053.8310129156391</v>
      </c>
      <c r="GD28" s="80">
        <f t="shared" si="140"/>
        <v>175.27002752055228</v>
      </c>
      <c r="GE28" s="80">
        <f t="shared" si="141"/>
        <v>878.56098539508685</v>
      </c>
      <c r="GF28" s="80">
        <f t="shared" si="142"/>
        <v>855.40003769271971</v>
      </c>
      <c r="GG28" s="23">
        <f t="shared" si="143"/>
        <v>5.9279222612105469E-4</v>
      </c>
      <c r="GH28" s="23">
        <f t="shared" si="144"/>
        <v>1.5629883642036681E-6</v>
      </c>
      <c r="GI28" s="23">
        <f t="shared" si="145"/>
        <v>3.5071401545401512E-6</v>
      </c>
      <c r="GJ28" s="26">
        <f t="shared" si="146"/>
        <v>0.31512937388599793</v>
      </c>
      <c r="GK28" s="28">
        <f t="shared" si="147"/>
        <v>11.203773073687934</v>
      </c>
      <c r="GL28" s="29">
        <f t="shared" si="148"/>
        <v>8.0181303083648167E-2</v>
      </c>
      <c r="GM28" s="29">
        <f t="shared" si="149"/>
        <v>3.1830804042606413</v>
      </c>
      <c r="GN28" s="29">
        <f t="shared" si="150"/>
        <v>25.840608658651831</v>
      </c>
      <c r="GO28" s="23">
        <f t="shared" si="192"/>
        <v>14.467034781032224</v>
      </c>
      <c r="GP28" s="83">
        <f t="shared" si="193"/>
        <v>40.307643439684057</v>
      </c>
      <c r="GQ28" s="84">
        <f>'Health - Mortality'!AO26-'Health - Mortality'!Z26</f>
        <v>1108.1987855294337</v>
      </c>
      <c r="GR28" s="80">
        <f t="shared" si="151"/>
        <v>184.31231312940608</v>
      </c>
      <c r="GS28" s="80">
        <f t="shared" si="152"/>
        <v>923.88647240002763</v>
      </c>
      <c r="GT28" s="80">
        <f t="shared" si="153"/>
        <v>899.5306375451953</v>
      </c>
      <c r="GU28" s="23">
        <f t="shared" si="154"/>
        <v>6.2337473181882039E-4</v>
      </c>
      <c r="GV28" s="23">
        <f t="shared" si="155"/>
        <v>1.6436238692719123E-6</v>
      </c>
      <c r="GW28" s="23">
        <f t="shared" si="156"/>
        <v>3.6880756139353012E-6</v>
      </c>
      <c r="GX28" s="26">
        <f t="shared" si="157"/>
        <v>0.33138708687164997</v>
      </c>
      <c r="GY28" s="28">
        <f t="shared" si="158"/>
        <v>11.781782431375705</v>
      </c>
      <c r="GZ28" s="29">
        <f t="shared" si="159"/>
        <v>8.4317904493649107E-2</v>
      </c>
      <c r="HA28" s="29">
        <f t="shared" si="160"/>
        <v>3.3472974272076792</v>
      </c>
      <c r="HB28" s="29">
        <f t="shared" si="161"/>
        <v>27.173741123475299</v>
      </c>
      <c r="HC28" s="23">
        <f t="shared" si="194"/>
        <v>15.213397763077033</v>
      </c>
      <c r="HD28" s="83">
        <f t="shared" si="195"/>
        <v>42.387138886552336</v>
      </c>
    </row>
    <row r="29" spans="2:212" x14ac:dyDescent="0.3">
      <c r="B29" s="6">
        <v>2046</v>
      </c>
      <c r="C29" s="84">
        <f>'Health - Mortality'!AA27-'Health - Mortality'!L27</f>
        <v>3928.5769952695155</v>
      </c>
      <c r="D29" s="80">
        <f t="shared" si="0"/>
        <v>653.38919583743257</v>
      </c>
      <c r="E29" s="80">
        <f t="shared" si="1"/>
        <v>3275.187799432083</v>
      </c>
      <c r="F29" s="80">
        <f t="shared" si="2"/>
        <v>3188.8460945315805</v>
      </c>
      <c r="G29" s="95">
        <f t="shared" si="3"/>
        <v>2.2098703435103851E-3</v>
      </c>
      <c r="H29" s="95">
        <f t="shared" si="4"/>
        <v>5.8266648601430042E-6</v>
      </c>
      <c r="I29" s="95">
        <f t="shared" si="5"/>
        <v>1.3074268987579481E-5</v>
      </c>
      <c r="J29" s="118">
        <f t="shared" si="6"/>
        <v>1.1747709012254341</v>
      </c>
      <c r="K29" s="28">
        <f t="shared" si="163"/>
        <v>41.766549492346279</v>
      </c>
      <c r="L29" s="29">
        <f t="shared" si="164"/>
        <v>0.29890790732533612</v>
      </c>
      <c r="M29" s="29">
        <f t="shared" si="165"/>
        <v>11.866206533127137</v>
      </c>
      <c r="N29" s="29">
        <f t="shared" si="166"/>
        <v>98.680755702936466</v>
      </c>
      <c r="O29" s="23">
        <f t="shared" si="162"/>
        <v>53.931663932798756</v>
      </c>
      <c r="P29" s="83">
        <f t="shared" si="167"/>
        <v>152.61241963573522</v>
      </c>
      <c r="Q29" s="84">
        <f>'Health - Mortality'!AB27-'Health - Mortality'!M27</f>
        <v>715.93699018787254</v>
      </c>
      <c r="R29" s="80">
        <f t="shared" si="8"/>
        <v>119.07250255051551</v>
      </c>
      <c r="S29" s="80">
        <f t="shared" si="9"/>
        <v>596.864487637357</v>
      </c>
      <c r="T29" s="80">
        <f t="shared" si="10"/>
        <v>581.1297265753775</v>
      </c>
      <c r="U29" s="23">
        <f t="shared" si="11"/>
        <v>4.0272290051673654E-4</v>
      </c>
      <c r="V29" s="23">
        <f t="shared" si="12"/>
        <v>1.0618411979266911E-6</v>
      </c>
      <c r="W29" s="23">
        <f t="shared" si="13"/>
        <v>2.3826318789590481E-6</v>
      </c>
      <c r="X29" s="26">
        <f t="shared" si="14"/>
        <v>0.21408819127036904</v>
      </c>
      <c r="Y29" s="28">
        <f t="shared" si="15"/>
        <v>7.6114628197663201</v>
      </c>
      <c r="Z29" s="29">
        <f t="shared" si="16"/>
        <v>5.4472453453639255E-2</v>
      </c>
      <c r="AA29" s="29">
        <f t="shared" si="17"/>
        <v>2.162476693343232</v>
      </c>
      <c r="AB29" s="29">
        <f t="shared" si="18"/>
        <v>17.983408066711</v>
      </c>
      <c r="AC29" s="23">
        <f t="shared" si="168"/>
        <v>9.8284119665631913</v>
      </c>
      <c r="AD29" s="83">
        <f t="shared" si="169"/>
        <v>27.811820033274191</v>
      </c>
      <c r="AE29" s="84">
        <f>'Health - Mortality'!AC27-'Health - Mortality'!N27</f>
        <v>544.06562314467408</v>
      </c>
      <c r="AF29" s="80">
        <f t="shared" si="19"/>
        <v>90.487369960507166</v>
      </c>
      <c r="AG29" s="80">
        <f t="shared" si="20"/>
        <v>453.5782531841669</v>
      </c>
      <c r="AH29" s="80">
        <f t="shared" si="21"/>
        <v>441.62085651442368</v>
      </c>
      <c r="AI29" s="23">
        <f t="shared" si="22"/>
        <v>3.0604325356449561E-4</v>
      </c>
      <c r="AJ29" s="23">
        <f t="shared" si="23"/>
        <v>8.0693035972212065E-7</v>
      </c>
      <c r="AK29" s="23">
        <f t="shared" si="24"/>
        <v>1.8106455117091374E-6</v>
      </c>
      <c r="AL29" s="26">
        <f t="shared" si="25"/>
        <v>0.16269312353991369</v>
      </c>
      <c r="AM29" s="28">
        <f t="shared" si="26"/>
        <v>5.7842174923689669</v>
      </c>
      <c r="AN29" s="29">
        <f t="shared" si="27"/>
        <v>4.1395527453744786E-2</v>
      </c>
      <c r="AO29" s="29">
        <f t="shared" si="28"/>
        <v>1.643341866427213</v>
      </c>
      <c r="AP29" s="29">
        <f t="shared" si="29"/>
        <v>13.666222377352749</v>
      </c>
      <c r="AQ29" s="23">
        <f t="shared" si="170"/>
        <v>7.4689548862499251</v>
      </c>
      <c r="AR29" s="83">
        <f t="shared" si="171"/>
        <v>21.135177263602674</v>
      </c>
      <c r="AS29" s="84">
        <f>'Health - Mortality'!AD27-'Health - Mortality'!O27</f>
        <v>200.38452806457656</v>
      </c>
      <c r="AT29" s="80">
        <f t="shared" si="30"/>
        <v>33.327356395975357</v>
      </c>
      <c r="AU29" s="80">
        <f t="shared" si="31"/>
        <v>167.0571716686012</v>
      </c>
      <c r="AV29" s="80">
        <f t="shared" si="32"/>
        <v>162.65314909004127</v>
      </c>
      <c r="AW29" s="23">
        <f t="shared" si="33"/>
        <v>1.127186323193986E-4</v>
      </c>
      <c r="AX29" s="23">
        <f t="shared" si="34"/>
        <v>2.9720010314068131E-7</v>
      </c>
      <c r="AY29" s="23">
        <f t="shared" si="35"/>
        <v>6.6687791126916933E-7</v>
      </c>
      <c r="AZ29" s="26">
        <f t="shared" si="36"/>
        <v>5.9921420124771196E-2</v>
      </c>
      <c r="BA29" s="28">
        <f t="shared" si="37"/>
        <v>2.1303821508366334</v>
      </c>
      <c r="BB29" s="29">
        <f t="shared" si="38"/>
        <v>1.5246365291116951E-2</v>
      </c>
      <c r="BC29" s="29">
        <f t="shared" si="39"/>
        <v>0.60525839226789813</v>
      </c>
      <c r="BD29" s="29">
        <f t="shared" si="40"/>
        <v>5.0333992904807801</v>
      </c>
      <c r="BE29" s="23">
        <f t="shared" si="172"/>
        <v>2.7508869083956484</v>
      </c>
      <c r="BF29" s="83">
        <f t="shared" si="173"/>
        <v>7.784286198876428</v>
      </c>
      <c r="BG29" s="84">
        <f>'Health - Mortality'!AE27-'Health - Mortality'!P27</f>
        <v>170.47026069974402</v>
      </c>
      <c r="BH29" s="80">
        <f t="shared" si="41"/>
        <v>28.352104766413497</v>
      </c>
      <c r="BI29" s="80">
        <f t="shared" si="42"/>
        <v>142.11815593333051</v>
      </c>
      <c r="BJ29" s="80">
        <f t="shared" si="43"/>
        <v>138.37158485648203</v>
      </c>
      <c r="BK29" s="23">
        <f t="shared" si="44"/>
        <v>9.5891508305542047E-5</v>
      </c>
      <c r="BL29" s="23">
        <f t="shared" si="45"/>
        <v>2.5283278879722526E-7</v>
      </c>
      <c r="BM29" s="23">
        <f t="shared" si="46"/>
        <v>5.6732349791157628E-7</v>
      </c>
      <c r="BN29" s="26">
        <f t="shared" si="47"/>
        <v>5.0976091861127976E-2</v>
      </c>
      <c r="BO29" s="28">
        <f t="shared" si="48"/>
        <v>1.8123495069747446</v>
      </c>
      <c r="BP29" s="29">
        <f t="shared" si="49"/>
        <v>1.2970322065297656E-2</v>
      </c>
      <c r="BQ29" s="29">
        <f t="shared" si="50"/>
        <v>0.51490280670454658</v>
      </c>
      <c r="BR29" s="29">
        <f t="shared" si="51"/>
        <v>4.2819917163347503</v>
      </c>
      <c r="BS29" s="23">
        <f t="shared" si="174"/>
        <v>2.3402226357445888</v>
      </c>
      <c r="BT29" s="83">
        <f t="shared" si="175"/>
        <v>6.6222143520793395</v>
      </c>
      <c r="BU29" s="84">
        <f>'Health - Mortality'!AF27-'Health - Mortality'!Q27</f>
        <v>88.05469564144434</v>
      </c>
      <c r="BV29" s="80">
        <f t="shared" si="52"/>
        <v>14.644994063792339</v>
      </c>
      <c r="BW29" s="80">
        <f t="shared" si="53"/>
        <v>73.409701577652001</v>
      </c>
      <c r="BX29" s="80">
        <f t="shared" si="54"/>
        <v>71.474448035381641</v>
      </c>
      <c r="BY29" s="23">
        <f t="shared" si="55"/>
        <v>4.9531792488519473E-5</v>
      </c>
      <c r="BZ29" s="23">
        <f t="shared" si="56"/>
        <v>1.3059822971075376E-7</v>
      </c>
      <c r="CA29" s="23">
        <f t="shared" si="57"/>
        <v>2.9304523694506475E-7</v>
      </c>
      <c r="CB29" s="26">
        <f t="shared" si="58"/>
        <v>2.6331186656234597E-2</v>
      </c>
      <c r="CC29" s="28">
        <f t="shared" si="59"/>
        <v>0.936150878033018</v>
      </c>
      <c r="CD29" s="29">
        <f t="shared" si="60"/>
        <v>6.6996891841616677E-3</v>
      </c>
      <c r="CE29" s="29">
        <f t="shared" si="61"/>
        <v>0.26596785705134079</v>
      </c>
      <c r="CF29" s="29">
        <f t="shared" si="62"/>
        <v>2.2118196791237064</v>
      </c>
      <c r="CG29" s="23">
        <f t="shared" si="176"/>
        <v>1.2088184242685205</v>
      </c>
      <c r="CH29" s="83">
        <f t="shared" si="177"/>
        <v>3.4206381033922266</v>
      </c>
      <c r="CI29" s="84">
        <f>'Health - Mortality'!AG27-'Health - Mortality'!R27</f>
        <v>3883.9132045081697</v>
      </c>
      <c r="CJ29" s="80">
        <f t="shared" si="63"/>
        <v>645.9608475159547</v>
      </c>
      <c r="CK29" s="80">
        <f t="shared" si="64"/>
        <v>3237.9523569922148</v>
      </c>
      <c r="CL29" s="80">
        <f t="shared" si="65"/>
        <v>3152.5922665150256</v>
      </c>
      <c r="CM29" s="23">
        <f t="shared" si="66"/>
        <v>2.1847464406949124E-3</v>
      </c>
      <c r="CN29" s="23">
        <f t="shared" si="67"/>
        <v>5.7604218056061378E-6</v>
      </c>
      <c r="CO29" s="23">
        <f t="shared" si="68"/>
        <v>1.2925628292711605E-5</v>
      </c>
      <c r="CP29" s="26">
        <f t="shared" si="69"/>
        <v>1.1614149909841354</v>
      </c>
      <c r="CQ29" s="28">
        <f t="shared" si="70"/>
        <v>41.291707729133847</v>
      </c>
      <c r="CR29" s="29">
        <f t="shared" si="71"/>
        <v>0.29550963862759488</v>
      </c>
      <c r="CS29" s="29">
        <f t="shared" si="72"/>
        <v>11.731300238465053</v>
      </c>
      <c r="CT29" s="29">
        <f t="shared" si="73"/>
        <v>97.558859242667367</v>
      </c>
      <c r="CU29" s="23">
        <f t="shared" si="178"/>
        <v>53.318517606226493</v>
      </c>
      <c r="CV29" s="83">
        <f t="shared" si="179"/>
        <v>150.87737684889385</v>
      </c>
      <c r="CW29" s="84">
        <f>'Health - Mortality'!AH27-'Health - Mortality'!S27</f>
        <v>1418.3416876463784</v>
      </c>
      <c r="CX29" s="80">
        <f t="shared" si="74"/>
        <v>235.89435457924557</v>
      </c>
      <c r="CY29" s="80">
        <f t="shared" si="75"/>
        <v>1182.4473330671328</v>
      </c>
      <c r="CZ29" s="80">
        <f t="shared" si="76"/>
        <v>1151.2752217427769</v>
      </c>
      <c r="DA29" s="23">
        <f t="shared" si="77"/>
        <v>7.9783372866774438E-4</v>
      </c>
      <c r="DB29" s="23">
        <f t="shared" si="78"/>
        <v>2.1036119900503868E-6</v>
      </c>
      <c r="DC29" s="23">
        <f t="shared" si="79"/>
        <v>4.7202284091453858E-6</v>
      </c>
      <c r="DD29" s="26">
        <f t="shared" si="80"/>
        <v>0.424129791690039</v>
      </c>
      <c r="DE29" s="28">
        <f t="shared" si="81"/>
        <v>15.079057471820368</v>
      </c>
      <c r="DF29" s="29">
        <f t="shared" si="82"/>
        <v>0.10791529508958483</v>
      </c>
      <c r="DG29" s="29">
        <f t="shared" si="83"/>
        <v>4.2840793041403522</v>
      </c>
      <c r="DH29" s="29">
        <f t="shared" si="84"/>
        <v>35.626902501963279</v>
      </c>
      <c r="DI29" s="23">
        <f t="shared" si="180"/>
        <v>19.471052071050305</v>
      </c>
      <c r="DJ29" s="83">
        <f t="shared" si="181"/>
        <v>55.097954573013581</v>
      </c>
      <c r="DK29" s="84">
        <f>'Health - Mortality'!AI27-'Health - Mortality'!T27</f>
        <v>553.87232656132142</v>
      </c>
      <c r="DL29" s="80">
        <f t="shared" si="85"/>
        <v>92.11839159173266</v>
      </c>
      <c r="DM29" s="80">
        <f t="shared" si="86"/>
        <v>461.75393496958878</v>
      </c>
      <c r="DN29" s="80">
        <f t="shared" si="87"/>
        <v>449.58100797080618</v>
      </c>
      <c r="DO29" s="23">
        <f t="shared" si="88"/>
        <v>3.1155963852376868E-4</v>
      </c>
      <c r="DP29" s="23">
        <f t="shared" si="89"/>
        <v>8.2147516163396498E-7</v>
      </c>
      <c r="DQ29" s="23">
        <f t="shared" si="90"/>
        <v>1.8432821326803055E-6</v>
      </c>
      <c r="DR29" s="26">
        <f t="shared" si="91"/>
        <v>0.16562564333644497</v>
      </c>
      <c r="DS29" s="28">
        <f t="shared" si="92"/>
        <v>5.8884771680992278</v>
      </c>
      <c r="DT29" s="29">
        <f t="shared" si="93"/>
        <v>4.2141675791822403E-2</v>
      </c>
      <c r="DU29" s="29">
        <f t="shared" si="94"/>
        <v>1.6729628636206453</v>
      </c>
      <c r="DV29" s="29">
        <f t="shared" si="95"/>
        <v>13.912554040261378</v>
      </c>
      <c r="DW29" s="23">
        <f t="shared" si="182"/>
        <v>7.6035817075116956</v>
      </c>
      <c r="DX29" s="83">
        <f t="shared" si="183"/>
        <v>21.516135747773074</v>
      </c>
      <c r="DY29" s="84">
        <f>'Health - Mortality'!AJ27-'Health - Mortality'!U27</f>
        <v>915.34189603535788</v>
      </c>
      <c r="DZ29" s="80">
        <f t="shared" si="96"/>
        <v>152.23693110431788</v>
      </c>
      <c r="EA29" s="80">
        <f t="shared" si="97"/>
        <v>763.10496493104006</v>
      </c>
      <c r="EB29" s="80">
        <f t="shared" si="98"/>
        <v>742.987711287872</v>
      </c>
      <c r="EC29" s="23">
        <f t="shared" si="99"/>
        <v>5.1489048392249523E-4</v>
      </c>
      <c r="ED29" s="23">
        <f t="shared" si="100"/>
        <v>1.3575883754010525E-6</v>
      </c>
      <c r="EE29" s="23">
        <f t="shared" si="101"/>
        <v>3.0462496162802757E-6</v>
      </c>
      <c r="EF29" s="26">
        <f t="shared" si="102"/>
        <v>0.27371667283845202</v>
      </c>
      <c r="EG29" s="28">
        <f t="shared" si="103"/>
        <v>9.7314301461351604</v>
      </c>
      <c r="EH29" s="29">
        <f t="shared" si="104"/>
        <v>6.9644283658073999E-2</v>
      </c>
      <c r="EI29" s="29">
        <f t="shared" si="105"/>
        <v>2.7647761517359783</v>
      </c>
      <c r="EJ29" s="29">
        <f t="shared" si="106"/>
        <v>22.992200518429971</v>
      </c>
      <c r="EK29" s="23">
        <f t="shared" si="184"/>
        <v>12.565850581529212</v>
      </c>
      <c r="EL29" s="83">
        <f t="shared" si="185"/>
        <v>35.558051099959187</v>
      </c>
      <c r="EM29" s="84">
        <f>'Health - Mortality'!AK27-'Health - Mortality'!V27</f>
        <v>132.3351717691084</v>
      </c>
      <c r="EN29" s="80">
        <f t="shared" si="107"/>
        <v>22.009590639904037</v>
      </c>
      <c r="EO29" s="80">
        <f t="shared" si="108"/>
        <v>110.32558112920437</v>
      </c>
      <c r="EP29" s="80">
        <f t="shared" si="109"/>
        <v>107.41713759797052</v>
      </c>
      <c r="EQ29" s="23">
        <f t="shared" si="110"/>
        <v>7.4440076355393578E-5</v>
      </c>
      <c r="ER29" s="23">
        <f t="shared" si="111"/>
        <v>1.9627277154972845E-7</v>
      </c>
      <c r="ES29" s="23">
        <f t="shared" si="112"/>
        <v>4.4041026415167916E-7</v>
      </c>
      <c r="ET29" s="26">
        <f t="shared" si="113"/>
        <v>3.9572473491092337E-2</v>
      </c>
      <c r="EU29" s="28">
        <f t="shared" si="114"/>
        <v>1.4069174431169387</v>
      </c>
      <c r="EV29" s="29">
        <f t="shared" si="115"/>
        <v>1.006879318050107E-2</v>
      </c>
      <c r="EW29" s="29">
        <f t="shared" si="116"/>
        <v>0.399716355744064</v>
      </c>
      <c r="EX29" s="29">
        <f t="shared" si="117"/>
        <v>3.3240877732517564</v>
      </c>
      <c r="EY29" s="23">
        <f t="shared" si="186"/>
        <v>1.8167025920415036</v>
      </c>
      <c r="EZ29" s="83">
        <f t="shared" si="187"/>
        <v>5.1407903652932596</v>
      </c>
      <c r="FA29" s="84">
        <f>'Health - Mortality'!AL27-'Health - Mortality'!W27</f>
        <v>627.93398679832933</v>
      </c>
      <c r="FB29" s="80">
        <f t="shared" si="118"/>
        <v>104.4361057877157</v>
      </c>
      <c r="FC29" s="80">
        <f t="shared" si="119"/>
        <v>523.49788101061358</v>
      </c>
      <c r="FD29" s="80">
        <f t="shared" si="120"/>
        <v>509.69723740596459</v>
      </c>
      <c r="FE29" s="23">
        <f t="shared" si="121"/>
        <v>3.5322018552233345E-4</v>
      </c>
      <c r="FF29" s="23">
        <f t="shared" si="122"/>
        <v>9.313196355252599E-7</v>
      </c>
      <c r="FG29" s="23">
        <f t="shared" si="123"/>
        <v>2.0897586733644552E-6</v>
      </c>
      <c r="FH29" s="26">
        <f t="shared" si="124"/>
        <v>0.18777246226035735</v>
      </c>
      <c r="FI29" s="28">
        <f t="shared" si="125"/>
        <v>6.6758615063721019</v>
      </c>
      <c r="FJ29" s="29">
        <f t="shared" si="126"/>
        <v>4.7776697302445832E-2</v>
      </c>
      <c r="FK29" s="29">
        <f t="shared" si="127"/>
        <v>1.8966649719455795</v>
      </c>
      <c r="FL29" s="29">
        <f t="shared" si="128"/>
        <v>15.772886829870018</v>
      </c>
      <c r="FM29" s="23">
        <f t="shared" si="188"/>
        <v>8.6203031756201263</v>
      </c>
      <c r="FN29" s="83">
        <f t="shared" si="189"/>
        <v>24.393190005490144</v>
      </c>
      <c r="FO29" s="84">
        <f>'Health - Mortality'!AM27-'Health - Mortality'!X27</f>
        <v>374.13041160375218</v>
      </c>
      <c r="FP29" s="80">
        <f t="shared" si="129"/>
        <v>62.224252972629571</v>
      </c>
      <c r="FQ29" s="80">
        <f t="shared" si="130"/>
        <v>311.90615863112259</v>
      </c>
      <c r="FR29" s="80">
        <f t="shared" si="131"/>
        <v>303.68357380412499</v>
      </c>
      <c r="FS29" s="23">
        <f t="shared" si="132"/>
        <v>2.1045271664625861E-4</v>
      </c>
      <c r="FT29" s="23">
        <f t="shared" si="133"/>
        <v>5.5489112852499121E-7</v>
      </c>
      <c r="FU29" s="23">
        <f t="shared" si="134"/>
        <v>1.2451026525969126E-6</v>
      </c>
      <c r="FV29" s="26">
        <f t="shared" si="135"/>
        <v>0.11187702858943964</v>
      </c>
      <c r="FW29" s="28">
        <f t="shared" si="136"/>
        <v>3.9775563446142876</v>
      </c>
      <c r="FX29" s="29">
        <f t="shared" si="137"/>
        <v>2.8465914893332049E-2</v>
      </c>
      <c r="FY29" s="29">
        <f t="shared" si="138"/>
        <v>1.1300551674969579</v>
      </c>
      <c r="FZ29" s="29">
        <f t="shared" si="139"/>
        <v>9.3976704015129293</v>
      </c>
      <c r="GA29" s="23">
        <f t="shared" si="190"/>
        <v>5.1360774270045777</v>
      </c>
      <c r="GB29" s="83">
        <f t="shared" si="191"/>
        <v>14.533747828517507</v>
      </c>
      <c r="GC29" s="84">
        <f>'Health - Mortality'!AN27-'Health - Mortality'!Y27</f>
        <v>1143.2744104818707</v>
      </c>
      <c r="GD29" s="80">
        <f t="shared" si="140"/>
        <v>190.14598634206408</v>
      </c>
      <c r="GE29" s="80">
        <f t="shared" si="141"/>
        <v>953.12842413980673</v>
      </c>
      <c r="GF29" s="80">
        <f t="shared" si="142"/>
        <v>928.00170220232565</v>
      </c>
      <c r="GG29" s="23">
        <f t="shared" si="143"/>
        <v>6.4310517962621163E-4</v>
      </c>
      <c r="GH29" s="23">
        <f t="shared" si="144"/>
        <v>1.6956462457211993E-6</v>
      </c>
      <c r="GI29" s="23">
        <f t="shared" si="145"/>
        <v>3.8048069790295352E-6</v>
      </c>
      <c r="GJ29" s="26">
        <f t="shared" si="146"/>
        <v>0.34187582709133679</v>
      </c>
      <c r="GK29" s="28">
        <f t="shared" si="147"/>
        <v>12.1546878949354</v>
      </c>
      <c r="GL29" s="29">
        <f t="shared" si="148"/>
        <v>8.6986652405497522E-2</v>
      </c>
      <c r="GM29" s="29">
        <f t="shared" si="149"/>
        <v>3.453242814167206</v>
      </c>
      <c r="GN29" s="29">
        <f t="shared" si="150"/>
        <v>28.717569475672292</v>
      </c>
      <c r="GO29" s="23">
        <f t="shared" si="192"/>
        <v>15.694917361508104</v>
      </c>
      <c r="GP29" s="83">
        <f t="shared" si="193"/>
        <v>44.412486837180396</v>
      </c>
      <c r="GQ29" s="84">
        <f>'Health - Mortality'!AO27-'Health - Mortality'!Z27</f>
        <v>1202.2566215028555</v>
      </c>
      <c r="GR29" s="80">
        <f t="shared" si="151"/>
        <v>199.95573156892863</v>
      </c>
      <c r="GS29" s="80">
        <f t="shared" si="152"/>
        <v>1002.3008899339269</v>
      </c>
      <c r="GT29" s="80">
        <f t="shared" si="153"/>
        <v>975.87786537478792</v>
      </c>
      <c r="GU29" s="23">
        <f t="shared" si="154"/>
        <v>6.7628336070472798E-4</v>
      </c>
      <c r="GV29" s="23">
        <f t="shared" si="155"/>
        <v>1.7831256502850734E-6</v>
      </c>
      <c r="GW29" s="23">
        <f t="shared" si="156"/>
        <v>4.0010992480366311E-6</v>
      </c>
      <c r="GX29" s="26">
        <f t="shared" si="157"/>
        <v>0.35951340560407186</v>
      </c>
      <c r="GY29" s="28">
        <f t="shared" si="158"/>
        <v>12.781755517319359</v>
      </c>
      <c r="GZ29" s="29">
        <f t="shared" si="159"/>
        <v>9.1474345859624259E-2</v>
      </c>
      <c r="HA29" s="29">
        <f t="shared" si="160"/>
        <v>3.6313976775180463</v>
      </c>
      <c r="HB29" s="29">
        <f t="shared" si="161"/>
        <v>30.199126070742036</v>
      </c>
      <c r="HC29" s="23">
        <f t="shared" si="194"/>
        <v>16.50462754069703</v>
      </c>
      <c r="HD29" s="83">
        <f t="shared" si="195"/>
        <v>46.703753611439069</v>
      </c>
    </row>
    <row r="30" spans="2:212" x14ac:dyDescent="0.3">
      <c r="B30" s="6">
        <v>2047</v>
      </c>
      <c r="C30" s="84">
        <f>'Health - Mortality'!AA28-'Health - Mortality'!L28</f>
        <v>4249.2023499686748</v>
      </c>
      <c r="D30" s="80">
        <f t="shared" si="0"/>
        <v>706.71464750205075</v>
      </c>
      <c r="E30" s="80">
        <f t="shared" si="1"/>
        <v>3542.4877024666239</v>
      </c>
      <c r="F30" s="80">
        <f t="shared" si="2"/>
        <v>3449.0993392487744</v>
      </c>
      <c r="G30" s="95">
        <f t="shared" si="3"/>
        <v>2.3902258420994004E-3</v>
      </c>
      <c r="H30" s="95">
        <f t="shared" si="4"/>
        <v>6.3022000195012103E-6</v>
      </c>
      <c r="I30" s="95">
        <f t="shared" si="5"/>
        <v>1.4141307290919975E-5</v>
      </c>
      <c r="J30" s="118">
        <f t="shared" si="6"/>
        <v>1.2706481965792484</v>
      </c>
      <c r="K30" s="28">
        <f t="shared" si="163"/>
        <v>45.175268415678666</v>
      </c>
      <c r="L30" s="29">
        <f t="shared" si="164"/>
        <v>0.32330286100041211</v>
      </c>
      <c r="M30" s="29">
        <f t="shared" si="165"/>
        <v>12.83465049723897</v>
      </c>
      <c r="N30" s="29">
        <f t="shared" si="166"/>
        <v>108.00509670923611</v>
      </c>
      <c r="O30" s="23">
        <f t="shared" si="162"/>
        <v>58.333221773918048</v>
      </c>
      <c r="P30" s="83">
        <f t="shared" si="167"/>
        <v>166.33831848315415</v>
      </c>
      <c r="Q30" s="84">
        <f>'Health - Mortality'!AB28-'Health - Mortality'!M28</f>
        <v>774.36719320989266</v>
      </c>
      <c r="R30" s="80">
        <f t="shared" si="8"/>
        <v>128.79043945518765</v>
      </c>
      <c r="S30" s="80">
        <f t="shared" si="9"/>
        <v>645.57675375470501</v>
      </c>
      <c r="T30" s="80">
        <f t="shared" si="10"/>
        <v>628.55782202414025</v>
      </c>
      <c r="U30" s="23">
        <f t="shared" si="11"/>
        <v>4.3559057066272912E-4</v>
      </c>
      <c r="V30" s="23">
        <f t="shared" si="12"/>
        <v>1.1485018924044557E-6</v>
      </c>
      <c r="W30" s="23">
        <f t="shared" si="13"/>
        <v>2.5770870702989753E-6</v>
      </c>
      <c r="X30" s="26">
        <f t="shared" si="14"/>
        <v>0.23156070163369324</v>
      </c>
      <c r="Y30" s="28">
        <f t="shared" si="15"/>
        <v>8.2326617855255808</v>
      </c>
      <c r="Z30" s="29">
        <f t="shared" si="16"/>
        <v>5.8918147080348579E-2</v>
      </c>
      <c r="AA30" s="29">
        <f t="shared" si="17"/>
        <v>2.33896422500335</v>
      </c>
      <c r="AB30" s="29">
        <f t="shared" si="18"/>
        <v>19.682659638863925</v>
      </c>
      <c r="AC30" s="23">
        <f t="shared" si="168"/>
        <v>10.630544157609279</v>
      </c>
      <c r="AD30" s="83">
        <f t="shared" si="169"/>
        <v>30.313203796473204</v>
      </c>
      <c r="AE30" s="84">
        <f>'Health - Mortality'!AC28-'Health - Mortality'!N28</f>
        <v>588.46878327375634</v>
      </c>
      <c r="AF30" s="80">
        <f t="shared" si="19"/>
        <v>97.872370973422647</v>
      </c>
      <c r="AG30" s="80">
        <f t="shared" si="20"/>
        <v>490.59641230033372</v>
      </c>
      <c r="AH30" s="80">
        <f t="shared" si="21"/>
        <v>477.6631293101413</v>
      </c>
      <c r="AI30" s="23">
        <f t="shared" si="22"/>
        <v>3.3102054861192787E-4</v>
      </c>
      <c r="AJ30" s="23">
        <f t="shared" si="23"/>
        <v>8.7278686020943706E-7</v>
      </c>
      <c r="AK30" s="23">
        <f t="shared" si="24"/>
        <v>1.9584188301715793E-6</v>
      </c>
      <c r="AL30" s="26">
        <f t="shared" si="25"/>
        <v>0.17597109683785606</v>
      </c>
      <c r="AM30" s="28">
        <f t="shared" si="26"/>
        <v>6.2562883687654365</v>
      </c>
      <c r="AN30" s="29">
        <f t="shared" si="27"/>
        <v>4.4773965928744122E-2</v>
      </c>
      <c r="AO30" s="29">
        <f t="shared" si="28"/>
        <v>1.7774609302637254</v>
      </c>
      <c r="AP30" s="29">
        <f t="shared" si="29"/>
        <v>14.957543231217764</v>
      </c>
      <c r="AQ30" s="23">
        <f t="shared" si="170"/>
        <v>8.0785232649579068</v>
      </c>
      <c r="AR30" s="83">
        <f t="shared" si="171"/>
        <v>23.036066496175671</v>
      </c>
      <c r="AS30" s="84">
        <f>'Health - Mortality'!AD28-'Health - Mortality'!O28</f>
        <v>216.73863298966558</v>
      </c>
      <c r="AT30" s="80">
        <f t="shared" si="30"/>
        <v>36.047322296735771</v>
      </c>
      <c r="AU30" s="80">
        <f t="shared" si="31"/>
        <v>180.69131069292979</v>
      </c>
      <c r="AV30" s="80">
        <f t="shared" si="32"/>
        <v>175.92785992878146</v>
      </c>
      <c r="AW30" s="23">
        <f t="shared" si="33"/>
        <v>1.2191800693064555E-4</v>
      </c>
      <c r="AX30" s="23">
        <f t="shared" si="34"/>
        <v>3.214556767493564E-7</v>
      </c>
      <c r="AY30" s="23">
        <f t="shared" si="35"/>
        <v>7.2130422570800398E-7</v>
      </c>
      <c r="AZ30" s="26">
        <f t="shared" si="36"/>
        <v>6.481182359776308E-2</v>
      </c>
      <c r="BA30" s="28">
        <f t="shared" si="37"/>
        <v>2.3042503309892006</v>
      </c>
      <c r="BB30" s="29">
        <f t="shared" si="38"/>
        <v>1.6490676217241984E-2</v>
      </c>
      <c r="BC30" s="29">
        <f t="shared" si="39"/>
        <v>0.65465571525258437</v>
      </c>
      <c r="BD30" s="29">
        <f t="shared" si="40"/>
        <v>5.5090050058098621</v>
      </c>
      <c r="BE30" s="23">
        <f t="shared" si="172"/>
        <v>2.9753967224590268</v>
      </c>
      <c r="BF30" s="83">
        <f t="shared" si="173"/>
        <v>8.4844017282688888</v>
      </c>
      <c r="BG30" s="84">
        <f>'Health - Mortality'!AE28-'Health - Mortality'!P28</f>
        <v>184.38295424458926</v>
      </c>
      <c r="BH30" s="80">
        <f t="shared" si="41"/>
        <v>30.666022416021743</v>
      </c>
      <c r="BI30" s="80">
        <f t="shared" si="42"/>
        <v>153.71693182856751</v>
      </c>
      <c r="BJ30" s="80">
        <f t="shared" si="43"/>
        <v>149.66458955724667</v>
      </c>
      <c r="BK30" s="23">
        <f t="shared" si="44"/>
        <v>1.0371756056317193E-4</v>
      </c>
      <c r="BL30" s="23">
        <f t="shared" si="45"/>
        <v>2.7346738567169143E-7</v>
      </c>
      <c r="BM30" s="23">
        <f t="shared" si="46"/>
        <v>6.1362481718471138E-7</v>
      </c>
      <c r="BN30" s="26">
        <f t="shared" si="47"/>
        <v>5.5136434792889669E-2</v>
      </c>
      <c r="BO30" s="28">
        <f t="shared" si="48"/>
        <v>1.9602618946439494</v>
      </c>
      <c r="BP30" s="29">
        <f t="shared" si="49"/>
        <v>1.4028876884957769E-2</v>
      </c>
      <c r="BQ30" s="29">
        <f t="shared" si="50"/>
        <v>0.55692588407684407</v>
      </c>
      <c r="BR30" s="29">
        <f t="shared" si="51"/>
        <v>4.6865969573956221</v>
      </c>
      <c r="BS30" s="23">
        <f t="shared" si="174"/>
        <v>2.5312166556057512</v>
      </c>
      <c r="BT30" s="83">
        <f t="shared" si="175"/>
        <v>7.2178136130013737</v>
      </c>
      <c r="BU30" s="84">
        <f>'Health - Mortality'!AF28-'Health - Mortality'!Q28</f>
        <v>95.241157318779429</v>
      </c>
      <c r="BV30" s="80">
        <f t="shared" si="52"/>
        <v>15.840224912500286</v>
      </c>
      <c r="BW30" s="80">
        <f t="shared" si="53"/>
        <v>79.400932406279139</v>
      </c>
      <c r="BX30" s="80">
        <f t="shared" si="54"/>
        <v>77.307735834211897</v>
      </c>
      <c r="BY30" s="23">
        <f t="shared" si="55"/>
        <v>5.3574260933108839E-5</v>
      </c>
      <c r="BZ30" s="23">
        <f t="shared" si="56"/>
        <v>1.4125682282844322E-7</v>
      </c>
      <c r="CA30" s="23">
        <f t="shared" si="57"/>
        <v>3.1696171692026882E-7</v>
      </c>
      <c r="CB30" s="26">
        <f t="shared" si="58"/>
        <v>2.8480169881323663E-2</v>
      </c>
      <c r="CC30" s="28">
        <f t="shared" si="59"/>
        <v>1.012553531635757</v>
      </c>
      <c r="CD30" s="29">
        <f t="shared" si="60"/>
        <v>7.2464750110991369E-3</v>
      </c>
      <c r="CE30" s="29">
        <f t="shared" si="61"/>
        <v>0.28767445427683597</v>
      </c>
      <c r="CF30" s="29">
        <f t="shared" si="62"/>
        <v>2.4208144399125113</v>
      </c>
      <c r="CG30" s="23">
        <f t="shared" si="176"/>
        <v>1.3074744609236921</v>
      </c>
      <c r="CH30" s="83">
        <f t="shared" si="177"/>
        <v>3.7282889008362035</v>
      </c>
      <c r="CI30" s="84">
        <f>'Health - Mortality'!AG28-'Health - Mortality'!R28</f>
        <v>4200.8933859620774</v>
      </c>
      <c r="CJ30" s="80">
        <f t="shared" si="63"/>
        <v>698.68004485024642</v>
      </c>
      <c r="CK30" s="80">
        <f t="shared" si="64"/>
        <v>3502.2133411118311</v>
      </c>
      <c r="CL30" s="80">
        <f t="shared" si="65"/>
        <v>3409.8867054149969</v>
      </c>
      <c r="CM30" s="23">
        <f t="shared" si="66"/>
        <v>2.3630514868525927E-3</v>
      </c>
      <c r="CN30" s="23">
        <f t="shared" si="67"/>
        <v>6.2305506300795211E-6</v>
      </c>
      <c r="CO30" s="23">
        <f t="shared" si="68"/>
        <v>1.3980535492201488E-5</v>
      </c>
      <c r="CP30" s="26">
        <f t="shared" si="69"/>
        <v>1.256202262274885</v>
      </c>
      <c r="CQ30" s="28">
        <f t="shared" si="70"/>
        <v>44.661673101514005</v>
      </c>
      <c r="CR30" s="29">
        <f t="shared" si="71"/>
        <v>0.31962724732307946</v>
      </c>
      <c r="CS30" s="29">
        <f t="shared" si="72"/>
        <v>12.688734012722071</v>
      </c>
      <c r="CT30" s="29">
        <f t="shared" si="73"/>
        <v>106.77719229336522</v>
      </c>
      <c r="CU30" s="23">
        <f t="shared" si="178"/>
        <v>57.670034361559154</v>
      </c>
      <c r="CV30" s="83">
        <f t="shared" si="179"/>
        <v>164.44722665492438</v>
      </c>
      <c r="CW30" s="84">
        <f>'Health - Mortality'!AH28-'Health - Mortality'!S28</f>
        <v>1534.0976744155844</v>
      </c>
      <c r="CX30" s="80">
        <f t="shared" si="74"/>
        <v>255.14654467239436</v>
      </c>
      <c r="CY30" s="80">
        <f t="shared" si="75"/>
        <v>1278.95112974319</v>
      </c>
      <c r="CZ30" s="80">
        <f t="shared" si="76"/>
        <v>1245.2349498509716</v>
      </c>
      <c r="DA30" s="23">
        <f t="shared" si="77"/>
        <v>8.6294782024672328E-4</v>
      </c>
      <c r="DB30" s="23">
        <f t="shared" si="78"/>
        <v>2.2752953607139778E-6</v>
      </c>
      <c r="DC30" s="23">
        <f t="shared" si="79"/>
        <v>5.1054632943889835E-6</v>
      </c>
      <c r="DD30" s="26">
        <f t="shared" si="80"/>
        <v>0.45874455552509785</v>
      </c>
      <c r="DE30" s="28">
        <f t="shared" si="81"/>
        <v>16.309713802663069</v>
      </c>
      <c r="DF30" s="29">
        <f t="shared" si="82"/>
        <v>0.11672265200462706</v>
      </c>
      <c r="DG30" s="29">
        <f t="shared" si="83"/>
        <v>4.6337184859874414</v>
      </c>
      <c r="DH30" s="29">
        <f t="shared" si="84"/>
        <v>38.993287219633316</v>
      </c>
      <c r="DI30" s="23">
        <f t="shared" si="180"/>
        <v>21.060154940655135</v>
      </c>
      <c r="DJ30" s="83">
        <f t="shared" si="181"/>
        <v>60.053442160288455</v>
      </c>
      <c r="DK30" s="84">
        <f>'Health - Mortality'!AI28-'Health - Mortality'!T28</f>
        <v>599.07584716830138</v>
      </c>
      <c r="DL30" s="80">
        <f t="shared" si="85"/>
        <v>99.636506169601375</v>
      </c>
      <c r="DM30" s="80">
        <f t="shared" si="86"/>
        <v>499.4393409987</v>
      </c>
      <c r="DN30" s="80">
        <f t="shared" si="87"/>
        <v>486.27293747103397</v>
      </c>
      <c r="DO30" s="23">
        <f t="shared" si="88"/>
        <v>3.3698714566742649E-4</v>
      </c>
      <c r="DP30" s="23">
        <f t="shared" si="89"/>
        <v>8.8851871592667423E-7</v>
      </c>
      <c r="DQ30" s="23">
        <f t="shared" si="90"/>
        <v>1.9937190436312397E-6</v>
      </c>
      <c r="DR30" s="26">
        <f t="shared" si="91"/>
        <v>0.17914295016432891</v>
      </c>
      <c r="DS30" s="28">
        <f t="shared" si="92"/>
        <v>6.3690570531143607</v>
      </c>
      <c r="DT30" s="29">
        <f t="shared" si="93"/>
        <v>4.5581010127038385E-2</v>
      </c>
      <c r="DU30" s="29">
        <f t="shared" si="94"/>
        <v>1.8094994039997132</v>
      </c>
      <c r="DV30" s="29">
        <f t="shared" si="95"/>
        <v>15.227150763967957</v>
      </c>
      <c r="DW30" s="23">
        <f t="shared" si="182"/>
        <v>8.2241374672411123</v>
      </c>
      <c r="DX30" s="83">
        <f t="shared" si="183"/>
        <v>23.45128823120907</v>
      </c>
      <c r="DY30" s="84">
        <f>'Health - Mortality'!AJ28-'Health - Mortality'!U28</f>
        <v>990.04625347590832</v>
      </c>
      <c r="DZ30" s="80">
        <f t="shared" si="96"/>
        <v>164.66153678021726</v>
      </c>
      <c r="EA30" s="80">
        <f t="shared" si="97"/>
        <v>825.38471669569105</v>
      </c>
      <c r="EB30" s="80">
        <f t="shared" si="98"/>
        <v>803.62562133918004</v>
      </c>
      <c r="EC30" s="23">
        <f t="shared" si="99"/>
        <v>5.5691255558805181E-4</v>
      </c>
      <c r="ED30" s="23">
        <f t="shared" si="100"/>
        <v>1.4683860649773405E-6</v>
      </c>
      <c r="EE30" s="23">
        <f t="shared" si="101"/>
        <v>3.2948650474906383E-6</v>
      </c>
      <c r="EF30" s="26">
        <f t="shared" si="102"/>
        <v>0.29605567890135392</v>
      </c>
      <c r="EG30" s="28">
        <f t="shared" si="103"/>
        <v>10.52564730061418</v>
      </c>
      <c r="EH30" s="29">
        <f t="shared" si="104"/>
        <v>7.5328205133337572E-2</v>
      </c>
      <c r="EI30" s="29">
        <f t="shared" si="105"/>
        <v>2.9904195171025032</v>
      </c>
      <c r="EJ30" s="29">
        <f t="shared" si="106"/>
        <v>25.164732706615084</v>
      </c>
      <c r="EK30" s="23">
        <f t="shared" si="184"/>
        <v>13.591395022850019</v>
      </c>
      <c r="EL30" s="83">
        <f t="shared" si="185"/>
        <v>38.756127729465106</v>
      </c>
      <c r="EM30" s="84">
        <f>'Health - Mortality'!AK28-'Health - Mortality'!V28</f>
        <v>143.13552300028843</v>
      </c>
      <c r="EN30" s="80">
        <f t="shared" si="107"/>
        <v>23.805872808791101</v>
      </c>
      <c r="EO30" s="80">
        <f t="shared" si="108"/>
        <v>119.32965019149734</v>
      </c>
      <c r="EP30" s="80">
        <f t="shared" si="109"/>
        <v>116.18383808127237</v>
      </c>
      <c r="EQ30" s="23">
        <f t="shared" si="110"/>
        <v>8.0515399790321749E-5</v>
      </c>
      <c r="ER30" s="23">
        <f t="shared" si="111"/>
        <v>2.1229130117806317E-7</v>
      </c>
      <c r="ES30" s="23">
        <f t="shared" si="112"/>
        <v>4.7635373613321674E-7</v>
      </c>
      <c r="ET30" s="26">
        <f t="shared" si="113"/>
        <v>4.2802125949140742E-2</v>
      </c>
      <c r="EU30" s="28">
        <f t="shared" si="114"/>
        <v>1.521741056037081</v>
      </c>
      <c r="EV30" s="29">
        <f t="shared" si="115"/>
        <v>1.0890543750434641E-2</v>
      </c>
      <c r="EW30" s="29">
        <f t="shared" si="116"/>
        <v>0.43233865091450752</v>
      </c>
      <c r="EX30" s="29">
        <f t="shared" si="117"/>
        <v>3.6381807056769628</v>
      </c>
      <c r="EY30" s="23">
        <f t="shared" si="186"/>
        <v>1.9649702507020232</v>
      </c>
      <c r="EZ30" s="83">
        <f t="shared" si="187"/>
        <v>5.6031509563789861</v>
      </c>
      <c r="FA30" s="84">
        <f>'Health - Mortality'!AL28-'Health - Mortality'!W28</f>
        <v>679.18194693435305</v>
      </c>
      <c r="FB30" s="80">
        <f t="shared" si="118"/>
        <v>112.95951350045881</v>
      </c>
      <c r="FC30" s="80">
        <f t="shared" si="119"/>
        <v>566.22243343389425</v>
      </c>
      <c r="FD30" s="80">
        <f t="shared" si="120"/>
        <v>551.29546947046254</v>
      </c>
      <c r="FE30" s="23">
        <f t="shared" si="121"/>
        <v>3.820477603430305E-4</v>
      </c>
      <c r="FF30" s="23">
        <f t="shared" si="122"/>
        <v>1.0073279939812952E-6</v>
      </c>
      <c r="FG30" s="23">
        <f t="shared" si="123"/>
        <v>2.2603114248288968E-6</v>
      </c>
      <c r="FH30" s="26">
        <f t="shared" si="124"/>
        <v>0.20309725095291836</v>
      </c>
      <c r="FI30" s="28">
        <f t="shared" si="125"/>
        <v>7.2207026704832762</v>
      </c>
      <c r="FJ30" s="29">
        <f t="shared" si="126"/>
        <v>5.1675926091240443E-2</v>
      </c>
      <c r="FK30" s="29">
        <f t="shared" si="127"/>
        <v>2.0514586491747067</v>
      </c>
      <c r="FL30" s="29">
        <f t="shared" si="128"/>
        <v>17.263266330998061</v>
      </c>
      <c r="FM30" s="23">
        <f t="shared" si="188"/>
        <v>9.3238372457492229</v>
      </c>
      <c r="FN30" s="83">
        <f t="shared" si="189"/>
        <v>26.587103576747282</v>
      </c>
      <c r="FO30" s="84">
        <f>'Health - Mortality'!AM28-'Health - Mortality'!X28</f>
        <v>404.66454548190626</v>
      </c>
      <c r="FP30" s="80">
        <f t="shared" si="129"/>
        <v>67.302598949878501</v>
      </c>
      <c r="FQ30" s="80">
        <f t="shared" si="130"/>
        <v>337.36194653202779</v>
      </c>
      <c r="FR30" s="80">
        <f t="shared" si="131"/>
        <v>328.46828686549554</v>
      </c>
      <c r="FS30" s="23">
        <f t="shared" si="132"/>
        <v>2.2762852279778841E-4</v>
      </c>
      <c r="FT30" s="23">
        <f t="shared" si="133"/>
        <v>6.0017779723912621E-7</v>
      </c>
      <c r="FU30" s="23">
        <f t="shared" si="134"/>
        <v>1.3467199761485319E-6</v>
      </c>
      <c r="FV30" s="26">
        <f t="shared" si="135"/>
        <v>0.12100771688124855</v>
      </c>
      <c r="FW30" s="28">
        <f t="shared" si="136"/>
        <v>4.3021790808782008</v>
      </c>
      <c r="FX30" s="29">
        <f t="shared" si="137"/>
        <v>3.0789120998367173E-2</v>
      </c>
      <c r="FY30" s="29">
        <f t="shared" si="138"/>
        <v>1.2222830503524076</v>
      </c>
      <c r="FZ30" s="29">
        <f t="shared" si="139"/>
        <v>10.285655934906126</v>
      </c>
      <c r="GA30" s="23">
        <f t="shared" si="190"/>
        <v>5.5552512522289756</v>
      </c>
      <c r="GB30" s="83">
        <f t="shared" si="191"/>
        <v>15.840907187135102</v>
      </c>
      <c r="GC30" s="84">
        <f>'Health - Mortality'!AN28-'Health - Mortality'!Y28</f>
        <v>1236.5811634920847</v>
      </c>
      <c r="GD30" s="80">
        <f t="shared" si="140"/>
        <v>205.66448690574288</v>
      </c>
      <c r="GE30" s="80">
        <f t="shared" si="141"/>
        <v>1030.9166765863417</v>
      </c>
      <c r="GF30" s="80">
        <f t="shared" si="142"/>
        <v>1003.7392721387985</v>
      </c>
      <c r="GG30" s="23">
        <f t="shared" si="143"/>
        <v>6.9559131559218722E-4</v>
      </c>
      <c r="GH30" s="23">
        <f t="shared" si="144"/>
        <v>1.8340340588233218E-6</v>
      </c>
      <c r="GI30" s="23">
        <f t="shared" si="145"/>
        <v>4.1153310157690743E-6</v>
      </c>
      <c r="GJ30" s="26">
        <f t="shared" si="146"/>
        <v>0.36977754785593331</v>
      </c>
      <c r="GK30" s="28">
        <f t="shared" si="147"/>
        <v>13.146675864692339</v>
      </c>
      <c r="GL30" s="29">
        <f t="shared" si="148"/>
        <v>9.4085947217636412E-2</v>
      </c>
      <c r="GM30" s="29">
        <f t="shared" si="149"/>
        <v>3.7350744299120118</v>
      </c>
      <c r="GN30" s="29">
        <f t="shared" si="150"/>
        <v>31.431091567754333</v>
      </c>
      <c r="GO30" s="23">
        <f t="shared" si="192"/>
        <v>16.975836241821987</v>
      </c>
      <c r="GP30" s="83">
        <f t="shared" si="193"/>
        <v>48.406927809576317</v>
      </c>
      <c r="GQ30" s="84">
        <f>'Health - Mortality'!AO28-'Health - Mortality'!Z28</f>
        <v>1300.377125739612</v>
      </c>
      <c r="GR30" s="80">
        <f t="shared" si="151"/>
        <v>216.27484086362108</v>
      </c>
      <c r="GS30" s="80">
        <f t="shared" si="152"/>
        <v>1084.102284875991</v>
      </c>
      <c r="GT30" s="80">
        <f t="shared" si="153"/>
        <v>1055.5227818688795</v>
      </c>
      <c r="GU30" s="23">
        <f t="shared" si="154"/>
        <v>7.3147728783513346E-4</v>
      </c>
      <c r="GV30" s="23">
        <f t="shared" si="155"/>
        <v>1.9286529734823114E-6</v>
      </c>
      <c r="GW30" s="23">
        <f t="shared" si="156"/>
        <v>4.3276434056624057E-6</v>
      </c>
      <c r="GX30" s="26">
        <f t="shared" si="157"/>
        <v>0.38885459284049517</v>
      </c>
      <c r="GY30" s="28">
        <f t="shared" si="158"/>
        <v>13.824920740084023</v>
      </c>
      <c r="GZ30" s="29">
        <f t="shared" si="159"/>
        <v>9.8939897539642579E-2</v>
      </c>
      <c r="HA30" s="29">
        <f t="shared" si="160"/>
        <v>3.9277691549791993</v>
      </c>
      <c r="HB30" s="29">
        <f t="shared" si="161"/>
        <v>33.05264039144209</v>
      </c>
      <c r="HC30" s="23">
        <f t="shared" si="194"/>
        <v>17.851629792602864</v>
      </c>
      <c r="HD30" s="83">
        <f t="shared" si="195"/>
        <v>50.904270184044954</v>
      </c>
    </row>
    <row r="31" spans="2:212" ht="15" thickBot="1" x14ac:dyDescent="0.35">
      <c r="B31" s="30" t="s">
        <v>22</v>
      </c>
      <c r="C31" s="85"/>
      <c r="D31" s="86"/>
      <c r="E31" s="86"/>
      <c r="F31" s="86"/>
      <c r="G31" s="119">
        <f>SUM(G6:G30)</f>
        <v>2.0894327291949396E-2</v>
      </c>
      <c r="H31" s="119">
        <f t="shared" ref="H31:P31" si="196">SUM(H6:H30)</f>
        <v>5.5091124674281747E-5</v>
      </c>
      <c r="I31" s="119">
        <f t="shared" si="196"/>
        <v>1.236172321745924E-4</v>
      </c>
      <c r="J31" s="119">
        <f t="shared" si="196"/>
        <v>11.107460569053618</v>
      </c>
      <c r="K31" s="89">
        <f t="shared" si="196"/>
        <v>394.82107480595016</v>
      </c>
      <c r="L31" s="89">
        <f t="shared" si="196"/>
        <v>2.825592858447159</v>
      </c>
      <c r="M31" s="89">
        <f t="shared" si="196"/>
        <v>112.17449746201423</v>
      </c>
      <c r="N31" s="89">
        <f t="shared" si="196"/>
        <v>868.06365787455547</v>
      </c>
      <c r="O31" s="89">
        <f t="shared" si="196"/>
        <v>509.82116512641164</v>
      </c>
      <c r="P31" s="89">
        <f t="shared" si="196"/>
        <v>1377.8848230009671</v>
      </c>
      <c r="Q31" s="85"/>
      <c r="R31" s="86"/>
      <c r="S31" s="86"/>
      <c r="T31" s="86"/>
      <c r="U31" s="86">
        <f>SUM(U6:U30)</f>
        <v>3.8077456064654078E-3</v>
      </c>
      <c r="V31" s="86">
        <f t="shared" ref="V31:AC31" si="197">SUM(V6:V30)</f>
        <v>1.0039710061139901E-5</v>
      </c>
      <c r="W31" s="86">
        <f t="shared" si="197"/>
        <v>2.2527787859319156E-5</v>
      </c>
      <c r="X31" s="86">
        <f t="shared" si="197"/>
        <v>2.0242041578958965</v>
      </c>
      <c r="Y31" s="86">
        <f t="shared" si="197"/>
        <v>71.951501090516558</v>
      </c>
      <c r="Z31" s="86">
        <f t="shared" si="197"/>
        <v>0.51493109311816476</v>
      </c>
      <c r="AA31" s="86">
        <f t="shared" si="197"/>
        <v>20.442483928785023</v>
      </c>
      <c r="AB31" s="86">
        <f t="shared" si="197"/>
        <v>158.1944004810191</v>
      </c>
      <c r="AC31" s="86">
        <f t="shared" si="197"/>
        <v>92.90891611241976</v>
      </c>
      <c r="AD31" s="86">
        <f>SUM(AD6:AD30)</f>
        <v>251.10331659343882</v>
      </c>
      <c r="AE31" s="85"/>
      <c r="AF31" s="86"/>
      <c r="AG31" s="86"/>
      <c r="AH31" s="86"/>
      <c r="AI31" s="86">
        <f>SUM(AI6:AI30)</f>
        <v>2.893639404795052E-3</v>
      </c>
      <c r="AJ31" s="86">
        <f t="shared" ref="AJ31:AR31" si="198">SUM(AJ6:AJ30)</f>
        <v>7.6295277174776987E-6</v>
      </c>
      <c r="AK31" s="86">
        <f t="shared" si="198"/>
        <v>1.71196559302449E-5</v>
      </c>
      <c r="AL31" s="86">
        <f t="shared" si="198"/>
        <v>1.5382637182200536</v>
      </c>
      <c r="AM31" s="86">
        <f t="shared" si="198"/>
        <v>54.678468655089333</v>
      </c>
      <c r="AN31" s="86">
        <f t="shared" si="198"/>
        <v>0.39131419369794712</v>
      </c>
      <c r="AO31" s="86">
        <f t="shared" si="198"/>
        <v>15.53496035233605</v>
      </c>
      <c r="AP31" s="86">
        <f t="shared" si="198"/>
        <v>120.21747200562749</v>
      </c>
      <c r="AQ31" s="86">
        <f t="shared" si="198"/>
        <v>70.604743201123313</v>
      </c>
      <c r="AR31" s="86">
        <f t="shared" si="198"/>
        <v>190.8222152067508</v>
      </c>
      <c r="AS31" s="85"/>
      <c r="AT31" s="86"/>
      <c r="AU31" s="86"/>
      <c r="AV31" s="86"/>
      <c r="AW31" s="86">
        <f>SUM(AW6:AW30)</f>
        <v>1.0657548314989421E-3</v>
      </c>
      <c r="AX31" s="86">
        <f t="shared" ref="AX31:BE31" si="199">SUM(AX6:AX30)</f>
        <v>2.8100274047563514E-6</v>
      </c>
      <c r="AY31" s="86">
        <f t="shared" si="199"/>
        <v>6.3053316149288082E-6</v>
      </c>
      <c r="AZ31" s="86">
        <f t="shared" si="199"/>
        <v>0.56655711388774921</v>
      </c>
      <c r="BA31" s="86">
        <f t="shared" si="199"/>
        <v>20.138598490039669</v>
      </c>
      <c r="BB31" s="86">
        <f t="shared" si="199"/>
        <v>0.14412472814567512</v>
      </c>
      <c r="BC31" s="86">
        <f t="shared" si="199"/>
        <v>5.7216732068311389</v>
      </c>
      <c r="BD31" s="86">
        <f t="shared" si="199"/>
        <v>44.277234892597413</v>
      </c>
      <c r="BE31" s="86">
        <f t="shared" si="199"/>
        <v>26.004396425016481</v>
      </c>
      <c r="BF31" s="86">
        <f>SUM(BF6:BF30)</f>
        <v>70.2816313176139</v>
      </c>
      <c r="BG31" s="85"/>
      <c r="BH31" s="86"/>
      <c r="BI31" s="86"/>
      <c r="BJ31" s="86"/>
      <c r="BK31" s="86">
        <f t="shared" ref="BK31:BT31" si="200">SUM(BK6:BK30)</f>
        <v>9.06654349626673E-4</v>
      </c>
      <c r="BL31" s="86">
        <f t="shared" si="200"/>
        <v>2.3905343835122234E-6</v>
      </c>
      <c r="BM31" s="86">
        <f t="shared" si="200"/>
        <v>5.3640444927407793E-6</v>
      </c>
      <c r="BN31" s="87">
        <f t="shared" si="200"/>
        <v>0.48197902222578104</v>
      </c>
      <c r="BO31" s="88">
        <f t="shared" si="200"/>
        <v>17.132221573604692</v>
      </c>
      <c r="BP31" s="89">
        <f t="shared" si="200"/>
        <v>0.12260916657375512</v>
      </c>
      <c r="BQ31" s="89">
        <f t="shared" si="200"/>
        <v>4.8675171313272116</v>
      </c>
      <c r="BR31" s="89">
        <f t="shared" si="200"/>
        <v>37.667338132874498</v>
      </c>
      <c r="BS31" s="86">
        <f t="shared" si="200"/>
        <v>22.122347871505657</v>
      </c>
      <c r="BT31" s="90">
        <f t="shared" si="200"/>
        <v>59.789686004380165</v>
      </c>
      <c r="BU31" s="85"/>
      <c r="BV31" s="86"/>
      <c r="BW31" s="86"/>
      <c r="BX31" s="86"/>
      <c r="BY31" s="86">
        <f t="shared" ref="BY31:CH31" si="201">SUM(BY6:BY30)</f>
        <v>4.6832316957023457E-4</v>
      </c>
      <c r="BZ31" s="86">
        <f t="shared" si="201"/>
        <v>1.234806450676664E-6</v>
      </c>
      <c r="CA31" s="86">
        <f t="shared" si="201"/>
        <v>2.7707431388715181E-6</v>
      </c>
      <c r="CB31" s="87">
        <f t="shared" si="201"/>
        <v>0.24896140789274807</v>
      </c>
      <c r="CC31" s="88">
        <f t="shared" si="201"/>
        <v>8.8494764431823985</v>
      </c>
      <c r="CD31" s="89">
        <f t="shared" si="201"/>
        <v>6.3332529681051658E-2</v>
      </c>
      <c r="CE31" s="89">
        <f t="shared" si="201"/>
        <v>2.5142669329488352</v>
      </c>
      <c r="CF31" s="89">
        <f t="shared" si="201"/>
        <v>19.456684006341838</v>
      </c>
      <c r="CG31" s="86">
        <f t="shared" si="201"/>
        <v>11.427075905812284</v>
      </c>
      <c r="CH31" s="90">
        <f t="shared" si="201"/>
        <v>30.883759912154126</v>
      </c>
      <c r="CI31" s="85"/>
      <c r="CJ31" s="86"/>
      <c r="CK31" s="86"/>
      <c r="CL31" s="86"/>
      <c r="CM31" s="86">
        <f>SUM(CM11:CM30)</f>
        <v>2.0656780754516005E-2</v>
      </c>
      <c r="CN31" s="86">
        <f t="shared" ref="CN31:CV31" si="202">SUM(CN11:CN30)</f>
        <v>5.4464796497890598E-5</v>
      </c>
      <c r="CO31" s="86">
        <f t="shared" si="202"/>
        <v>1.2221183418977726E-4</v>
      </c>
      <c r="CP31" s="86">
        <f t="shared" si="202"/>
        <v>10.981180418418033</v>
      </c>
      <c r="CQ31" s="86">
        <f t="shared" si="202"/>
        <v>390.33237421677075</v>
      </c>
      <c r="CR31" s="86">
        <f t="shared" si="202"/>
        <v>2.7934688378772683</v>
      </c>
      <c r="CS31" s="86">
        <f t="shared" si="202"/>
        <v>110.89919134241022</v>
      </c>
      <c r="CT31" s="86">
        <f t="shared" si="202"/>
        <v>858.19468658303606</v>
      </c>
      <c r="CU31" s="86">
        <f t="shared" si="202"/>
        <v>504.02503439705822</v>
      </c>
      <c r="CV31" s="86">
        <f t="shared" si="202"/>
        <v>1362.2197209800943</v>
      </c>
      <c r="CW31" s="85"/>
      <c r="CX31" s="86"/>
      <c r="CY31" s="86"/>
      <c r="CZ31" s="86"/>
      <c r="DA31" s="86">
        <f>SUM(DA11:DA30)</f>
        <v>7.5435190577106638E-3</v>
      </c>
      <c r="DB31" s="86">
        <f t="shared" ref="DB31:DJ31" si="203">SUM(DB11:DB30)</f>
        <v>1.9889654406403516E-5</v>
      </c>
      <c r="DC31" s="86">
        <f t="shared" si="203"/>
        <v>4.4629766430900044E-5</v>
      </c>
      <c r="DD31" s="86">
        <f t="shared" si="203"/>
        <v>4.0101477934496526</v>
      </c>
      <c r="DE31" s="86">
        <f t="shared" si="203"/>
        <v>142.54300990738528</v>
      </c>
      <c r="DF31" s="86">
        <f t="shared" si="203"/>
        <v>1.02012920919641</v>
      </c>
      <c r="DG31" s="86">
        <f t="shared" si="203"/>
        <v>40.498573970355054</v>
      </c>
      <c r="DH31" s="86">
        <f t="shared" si="203"/>
        <v>313.39868735595951</v>
      </c>
      <c r="DI31" s="86">
        <f t="shared" si="203"/>
        <v>184.06171308693675</v>
      </c>
      <c r="DJ31" s="86">
        <f t="shared" si="203"/>
        <v>497.46040044289617</v>
      </c>
      <c r="DK31" s="85"/>
      <c r="DL31" s="86"/>
      <c r="DM31" s="86"/>
      <c r="DN31" s="86"/>
      <c r="DO31" s="86">
        <f>SUM(DO11:DO30)</f>
        <v>2.945796832558141E-3</v>
      </c>
      <c r="DP31" s="86">
        <f t="shared" ref="DP31:DX31" si="204">SUM(DP11:DP30)</f>
        <v>7.7670488405766622E-6</v>
      </c>
      <c r="DQ31" s="86">
        <f t="shared" si="204"/>
        <v>1.7428235228698963E-5</v>
      </c>
      <c r="DR31" s="86">
        <f t="shared" si="204"/>
        <v>1.5659906971348041</v>
      </c>
      <c r="DS31" s="86">
        <f t="shared" si="204"/>
        <v>55.664040068841949</v>
      </c>
      <c r="DT31" s="86">
        <f t="shared" si="204"/>
        <v>0.39836757490247843</v>
      </c>
      <c r="DU31" s="86">
        <f t="shared" si="204"/>
        <v>15.814975744384117</v>
      </c>
      <c r="DV31" s="86">
        <f t="shared" si="204"/>
        <v>122.3843743852413</v>
      </c>
      <c r="DW31" s="86">
        <f t="shared" si="204"/>
        <v>71.87738338812855</v>
      </c>
      <c r="DX31" s="86">
        <f t="shared" si="204"/>
        <v>194.26175777336985</v>
      </c>
      <c r="DY31" s="85"/>
      <c r="DZ31" s="86"/>
      <c r="EA31" s="86"/>
      <c r="EB31" s="86"/>
      <c r="EC31" s="86">
        <f>SUM(EC11:EC30)</f>
        <v>4.8682902696894209E-3</v>
      </c>
      <c r="ED31" s="86">
        <f t="shared" ref="ED31:EL31" si="205">SUM(ED11:ED30)</f>
        <v>1.2836000051621197E-5</v>
      </c>
      <c r="EE31" s="86">
        <f t="shared" si="205"/>
        <v>2.8802294524858054E-5</v>
      </c>
      <c r="EF31" s="86">
        <f t="shared" si="205"/>
        <v>2.587991537306757</v>
      </c>
      <c r="EG31" s="86">
        <f t="shared" si="205"/>
        <v>91.991647775456968</v>
      </c>
      <c r="EH31" s="86">
        <f t="shared" si="205"/>
        <v>0.65835123699734277</v>
      </c>
      <c r="EI31" s="86">
        <f t="shared" si="205"/>
        <v>26.136185524002805</v>
      </c>
      <c r="EJ31" s="86">
        <f t="shared" si="205"/>
        <v>202.25517673067088</v>
      </c>
      <c r="EK31" s="86">
        <f t="shared" si="205"/>
        <v>118.7861845364571</v>
      </c>
      <c r="EL31" s="86">
        <f t="shared" si="205"/>
        <v>321.04136126712802</v>
      </c>
      <c r="EM31" s="85"/>
      <c r="EN31" s="86"/>
      <c r="EO31" s="86"/>
      <c r="EP31" s="86"/>
      <c r="EQ31" s="86">
        <f>SUM(EQ11:EQ30)</f>
        <v>7.038310295329718E-4</v>
      </c>
      <c r="ER31" s="86">
        <f t="shared" ref="ER31:EZ31" si="206">SUM(ER11:ER30)</f>
        <v>1.85575933868754E-6</v>
      </c>
      <c r="ES31" s="86">
        <f t="shared" si="206"/>
        <v>4.1640796841056056E-6</v>
      </c>
      <c r="ET31" s="86">
        <f t="shared" si="206"/>
        <v>0.3741577940547573</v>
      </c>
      <c r="EU31" s="86">
        <f t="shared" si="206"/>
        <v>13.299654000780233</v>
      </c>
      <c r="EV31" s="86">
        <f t="shared" si="206"/>
        <v>9.5180854727404424E-2</v>
      </c>
      <c r="EW31" s="86">
        <f t="shared" si="206"/>
        <v>3.7786280904316767</v>
      </c>
      <c r="EX31" s="86">
        <f t="shared" si="206"/>
        <v>29.240957580740744</v>
      </c>
      <c r="EY31" s="86">
        <f t="shared" si="206"/>
        <v>17.173462945939313</v>
      </c>
      <c r="EZ31" s="86">
        <f t="shared" si="206"/>
        <v>46.414420526680047</v>
      </c>
      <c r="FA31" s="85"/>
      <c r="FB31" s="86"/>
      <c r="FC31" s="86"/>
      <c r="FD31" s="86"/>
      <c r="FE31" s="86">
        <f>SUM(FE11:FE30)</f>
        <v>3.3396973646440701E-3</v>
      </c>
      <c r="FF31" s="86">
        <f t="shared" ref="FF31:FN31" si="207">SUM(FF11:FF30)</f>
        <v>8.8056284999836917E-6</v>
      </c>
      <c r="FG31" s="86">
        <f t="shared" si="207"/>
        <v>1.9758671277114989E-5</v>
      </c>
      <c r="FH31" s="86">
        <f t="shared" si="207"/>
        <v>1.7753889020705276</v>
      </c>
      <c r="FI31" s="86">
        <f t="shared" si="207"/>
        <v>63.107219706634069</v>
      </c>
      <c r="FJ31" s="86">
        <f t="shared" si="207"/>
        <v>0.45163574261369127</v>
      </c>
      <c r="FK31" s="86">
        <f t="shared" si="207"/>
        <v>17.929692988895926</v>
      </c>
      <c r="FL31" s="86">
        <f t="shared" si="207"/>
        <v>138.74913846419736</v>
      </c>
      <c r="FM31" s="86">
        <f t="shared" si="207"/>
        <v>81.488548438143681</v>
      </c>
      <c r="FN31" s="86">
        <f t="shared" si="207"/>
        <v>220.23768690234107</v>
      </c>
      <c r="FO31" s="85"/>
      <c r="FP31" s="86"/>
      <c r="FQ31" s="86"/>
      <c r="FR31" s="86"/>
      <c r="FS31" s="86">
        <f>SUM(FS11:FS30)</f>
        <v>1.9898307400703628E-3</v>
      </c>
      <c r="FT31" s="86">
        <f t="shared" ref="FT31:GB31" si="208">SUM(FT11:FT30)</f>
        <v>5.2464964222213632E-6</v>
      </c>
      <c r="FU31" s="86">
        <f t="shared" si="208"/>
        <v>1.1772447379925666E-5</v>
      </c>
      <c r="FV31" s="86">
        <f t="shared" si="208"/>
        <v>1.0577974670157599</v>
      </c>
      <c r="FW31" s="86">
        <f t="shared" si="208"/>
        <v>37.600019397571259</v>
      </c>
      <c r="FX31" s="86">
        <f t="shared" si="208"/>
        <v>0.26908985630888338</v>
      </c>
      <c r="FY31" s="86">
        <f t="shared" si="208"/>
        <v>10.682720730035809</v>
      </c>
      <c r="FZ31" s="86">
        <f t="shared" si="208"/>
        <v>82.668359054672379</v>
      </c>
      <c r="GA31" s="86">
        <f t="shared" si="208"/>
        <v>48.551829983915958</v>
      </c>
      <c r="GB31" s="86">
        <f t="shared" si="208"/>
        <v>131.22018903858833</v>
      </c>
      <c r="GC31" s="85"/>
      <c r="GD31" s="86"/>
      <c r="GE31" s="86"/>
      <c r="GF31" s="86"/>
      <c r="GG31" s="86">
        <f>SUM(GG11:GG30)</f>
        <v>6.0805604028844806E-3</v>
      </c>
      <c r="GH31" s="86">
        <f t="shared" ref="GH31:GP31" si="209">SUM(GH11:GH30)</f>
        <v>1.6032337704113583E-5</v>
      </c>
      <c r="GI31" s="86">
        <f t="shared" si="209"/>
        <v>3.5974455486040939E-5</v>
      </c>
      <c r="GJ31" s="86">
        <f t="shared" si="209"/>
        <v>3.2324364392823126</v>
      </c>
      <c r="GK31" s="86">
        <f t="shared" si="209"/>
        <v>114.89881249320511</v>
      </c>
      <c r="GL31" s="86">
        <f t="shared" si="209"/>
        <v>0.82228960088927572</v>
      </c>
      <c r="GM31" s="86">
        <f t="shared" si="209"/>
        <v>32.644449278048633</v>
      </c>
      <c r="GN31" s="86">
        <f t="shared" si="209"/>
        <v>252.61945175372182</v>
      </c>
      <c r="GO31" s="86">
        <f t="shared" si="209"/>
        <v>148.36555137214305</v>
      </c>
      <c r="GP31" s="86">
        <f t="shared" si="209"/>
        <v>400.98500312586481</v>
      </c>
      <c r="GQ31" s="85"/>
      <c r="GR31" s="86"/>
      <c r="GS31" s="86"/>
      <c r="GT31" s="86"/>
      <c r="GU31" s="86">
        <f t="shared" ref="GU31:HD31" si="210">SUM(GU11:GU30)</f>
        <v>6.3942601529362736E-3</v>
      </c>
      <c r="GV31" s="86">
        <f t="shared" si="210"/>
        <v>1.685945560070426E-5</v>
      </c>
      <c r="GW31" s="86">
        <f t="shared" si="210"/>
        <v>3.7830399173216056E-5</v>
      </c>
      <c r="GX31" s="86">
        <f t="shared" si="210"/>
        <v>3.3991997696128768</v>
      </c>
      <c r="GY31" s="86">
        <f t="shared" si="210"/>
        <v>120.82651099008511</v>
      </c>
      <c r="GZ31" s="86">
        <f t="shared" si="210"/>
        <v>0.86471201349236215</v>
      </c>
      <c r="HA31" s="86">
        <f t="shared" si="210"/>
        <v>34.328595952135515</v>
      </c>
      <c r="HB31" s="86">
        <f t="shared" si="210"/>
        <v>265.65224044796309</v>
      </c>
      <c r="HC31" s="86">
        <f t="shared" si="210"/>
        <v>156.01981895571299</v>
      </c>
      <c r="HD31" s="90">
        <f t="shared" si="210"/>
        <v>421.67205940367603</v>
      </c>
    </row>
    <row r="32" spans="2:212" x14ac:dyDescent="0.3">
      <c r="T32" s="32"/>
    </row>
    <row r="33" spans="2:30" x14ac:dyDescent="0.3">
      <c r="N33" t="s">
        <v>108</v>
      </c>
      <c r="T33" s="32"/>
    </row>
    <row r="34" spans="2:30" x14ac:dyDescent="0.3">
      <c r="N34" t="s">
        <v>107</v>
      </c>
      <c r="S34" t="s">
        <v>109</v>
      </c>
      <c r="T34" s="32"/>
    </row>
    <row r="35" spans="2:30" x14ac:dyDescent="0.3">
      <c r="T35" s="32"/>
    </row>
    <row r="36" spans="2:30" ht="15" thickBot="1" x14ac:dyDescent="0.35"/>
    <row r="37" spans="2:30" ht="43.2" x14ac:dyDescent="0.3">
      <c r="B37" s="151" t="s">
        <v>117</v>
      </c>
      <c r="C37" s="152" t="s">
        <v>118</v>
      </c>
      <c r="D37" s="153" t="s">
        <v>4</v>
      </c>
      <c r="J37" s="1"/>
      <c r="K37" s="138" t="s">
        <v>102</v>
      </c>
      <c r="L37" s="5" t="s">
        <v>103</v>
      </c>
      <c r="Z37" s="12"/>
      <c r="AA37" s="243" t="s">
        <v>95</v>
      </c>
      <c r="AB37" s="244"/>
      <c r="AC37" s="244"/>
      <c r="AD37" s="245"/>
    </row>
    <row r="38" spans="2:30" ht="15.6" x14ac:dyDescent="0.35">
      <c r="B38" s="19" t="s">
        <v>119</v>
      </c>
      <c r="C38">
        <v>3.2743172752378031</v>
      </c>
      <c r="D38" s="59" t="s">
        <v>437</v>
      </c>
      <c r="K38" s="6" t="s">
        <v>104</v>
      </c>
      <c r="L38" s="13">
        <v>368.4</v>
      </c>
      <c r="Z38" s="6"/>
      <c r="AA38" s="24" t="s">
        <v>96</v>
      </c>
      <c r="AB38" s="79" t="s">
        <v>97</v>
      </c>
      <c r="AC38" s="79" t="s">
        <v>98</v>
      </c>
      <c r="AD38" s="25" t="s">
        <v>99</v>
      </c>
    </row>
    <row r="39" spans="2:30" x14ac:dyDescent="0.3">
      <c r="B39" s="69" t="s">
        <v>419</v>
      </c>
      <c r="D39" s="59"/>
      <c r="K39" s="6" t="s">
        <v>105</v>
      </c>
      <c r="L39" s="13">
        <v>0.69299999999999995</v>
      </c>
      <c r="Z39" s="6">
        <v>2023</v>
      </c>
      <c r="AA39" s="27">
        <v>16800</v>
      </c>
      <c r="AB39" s="23">
        <v>45100</v>
      </c>
      <c r="AC39" s="23">
        <v>810500</v>
      </c>
      <c r="AD39" s="26">
        <v>57</v>
      </c>
    </row>
    <row r="40" spans="2:30" x14ac:dyDescent="0.3">
      <c r="B40" s="19" t="s">
        <v>121</v>
      </c>
      <c r="C40">
        <v>0.72</v>
      </c>
      <c r="D40" s="59" t="s">
        <v>122</v>
      </c>
      <c r="K40" s="6" t="s">
        <v>98</v>
      </c>
      <c r="L40" s="13">
        <v>4.1000000000000003E-3</v>
      </c>
      <c r="Z40" s="6">
        <v>2024</v>
      </c>
      <c r="AA40" s="27">
        <v>17000</v>
      </c>
      <c r="AB40" s="23">
        <v>46000</v>
      </c>
      <c r="AC40" s="23">
        <v>824500</v>
      </c>
      <c r="AD40" s="26">
        <v>58</v>
      </c>
    </row>
    <row r="41" spans="2:30" ht="15" thickBot="1" x14ac:dyDescent="0.35">
      <c r="B41" s="167" t="s">
        <v>444</v>
      </c>
      <c r="C41" s="20">
        <v>0.83</v>
      </c>
      <c r="D41" s="146" t="s">
        <v>122</v>
      </c>
      <c r="K41" s="10" t="s">
        <v>106</v>
      </c>
      <c r="L41" s="41">
        <v>1.8272016545843679E-3</v>
      </c>
      <c r="Z41" s="6">
        <v>2025</v>
      </c>
      <c r="AA41" s="27">
        <v>17200</v>
      </c>
      <c r="AB41" s="23">
        <v>46900</v>
      </c>
      <c r="AC41" s="23">
        <v>838800</v>
      </c>
      <c r="AD41" s="26">
        <v>59</v>
      </c>
    </row>
    <row r="42" spans="2:30" x14ac:dyDescent="0.3">
      <c r="Z42" s="6">
        <v>2026</v>
      </c>
      <c r="AA42" s="27">
        <v>17500</v>
      </c>
      <c r="AB42" s="23">
        <v>47800</v>
      </c>
      <c r="AC42" s="23">
        <v>852100</v>
      </c>
      <c r="AD42" s="26">
        <v>60</v>
      </c>
    </row>
    <row r="43" spans="2:30" ht="29.25" customHeight="1" x14ac:dyDescent="0.3">
      <c r="B43" s="242" t="s">
        <v>155</v>
      </c>
      <c r="C43" s="240"/>
      <c r="D43" s="240"/>
      <c r="E43" s="240" t="s">
        <v>159</v>
      </c>
      <c r="F43" s="240"/>
      <c r="G43" s="241"/>
      <c r="Z43" s="6">
        <v>2027</v>
      </c>
      <c r="AA43" s="27">
        <v>17900</v>
      </c>
      <c r="AB43" s="23">
        <v>48700</v>
      </c>
      <c r="AC43" s="23">
        <v>865600</v>
      </c>
      <c r="AD43" s="26">
        <v>61</v>
      </c>
    </row>
    <row r="44" spans="2:30" x14ac:dyDescent="0.3">
      <c r="B44" s="6" t="s">
        <v>22</v>
      </c>
      <c r="C44" s="136">
        <v>4840986</v>
      </c>
      <c r="E44" t="s">
        <v>127</v>
      </c>
      <c r="F44">
        <v>1698834532</v>
      </c>
      <c r="G44" s="132">
        <f>F44/SUM(F44:F45)</f>
        <v>0.16631701418202893</v>
      </c>
      <c r="Z44" s="6">
        <v>2028</v>
      </c>
      <c r="AA44" s="27">
        <v>18200</v>
      </c>
      <c r="AB44" s="23">
        <v>49500</v>
      </c>
      <c r="AC44" s="23">
        <v>879400</v>
      </c>
      <c r="AD44" s="26">
        <v>62</v>
      </c>
    </row>
    <row r="45" spans="2:30" x14ac:dyDescent="0.3">
      <c r="B45" s="6" t="s">
        <v>154</v>
      </c>
      <c r="C45" s="136">
        <f>$C$44*D45</f>
        <v>3737241.1920000003</v>
      </c>
      <c r="D45" s="133">
        <v>0.77200000000000002</v>
      </c>
      <c r="E45" t="s">
        <v>160</v>
      </c>
      <c r="F45">
        <v>8515601678</v>
      </c>
      <c r="G45" s="132">
        <f>F45/SUM(F44:F45)</f>
        <v>0.83368298581797107</v>
      </c>
      <c r="Z45" s="6">
        <v>2029</v>
      </c>
      <c r="AA45" s="27">
        <v>18600</v>
      </c>
      <c r="AB45" s="23">
        <v>50400</v>
      </c>
      <c r="AC45" s="23">
        <v>893400</v>
      </c>
      <c r="AD45" s="26">
        <v>63</v>
      </c>
    </row>
    <row r="46" spans="2:30" x14ac:dyDescent="0.3">
      <c r="B46" s="6" t="s">
        <v>156</v>
      </c>
      <c r="C46" s="136">
        <f>$C$44*D46</f>
        <v>421165.78199999995</v>
      </c>
      <c r="D46" s="133">
        <v>8.6999999999999994E-2</v>
      </c>
      <c r="G46" s="13"/>
      <c r="Z46" s="6">
        <v>2030</v>
      </c>
      <c r="AA46" s="27">
        <v>18900</v>
      </c>
      <c r="AB46" s="23">
        <v>51300</v>
      </c>
      <c r="AC46" s="23">
        <v>907600</v>
      </c>
      <c r="AD46" s="26">
        <v>65</v>
      </c>
    </row>
    <row r="47" spans="2:30" x14ac:dyDescent="0.3">
      <c r="B47" s="6" t="s">
        <v>157</v>
      </c>
      <c r="C47" s="136">
        <f>$C$44*D47</f>
        <v>43568.873999999996</v>
      </c>
      <c r="D47" s="133">
        <v>8.9999999999999993E-3</v>
      </c>
      <c r="G47" s="13"/>
      <c r="Z47" s="6">
        <v>2031</v>
      </c>
      <c r="AA47" s="27">
        <v>18900</v>
      </c>
      <c r="AB47" s="23">
        <v>51300</v>
      </c>
      <c r="AC47" s="23">
        <v>907600</v>
      </c>
      <c r="AD47" s="26">
        <v>66</v>
      </c>
    </row>
    <row r="48" spans="2:30" x14ac:dyDescent="0.3">
      <c r="B48" s="6" t="s">
        <v>128</v>
      </c>
      <c r="C48" s="136">
        <f>$C$44*D48</f>
        <v>77455.775999999998</v>
      </c>
      <c r="D48" s="133">
        <v>1.6E-2</v>
      </c>
      <c r="G48" s="13"/>
      <c r="Z48" s="6">
        <v>2032</v>
      </c>
      <c r="AA48" s="27">
        <v>18900</v>
      </c>
      <c r="AB48" s="23">
        <v>51300</v>
      </c>
      <c r="AC48" s="23">
        <v>907600</v>
      </c>
      <c r="AD48" s="26">
        <v>67</v>
      </c>
    </row>
    <row r="49" spans="2:30" x14ac:dyDescent="0.3">
      <c r="B49" s="10" t="s">
        <v>158</v>
      </c>
      <c r="C49" s="137">
        <f>$C$44*D49</f>
        <v>566395.36200000008</v>
      </c>
      <c r="D49" s="134">
        <v>0.11700000000000001</v>
      </c>
      <c r="E49" s="40"/>
      <c r="F49" s="40"/>
      <c r="G49" s="41"/>
      <c r="Z49" s="6">
        <v>2033</v>
      </c>
      <c r="AA49" s="27">
        <v>18900</v>
      </c>
      <c r="AB49" s="23">
        <v>51300</v>
      </c>
      <c r="AC49" s="23">
        <v>907600</v>
      </c>
      <c r="AD49" s="26">
        <v>68</v>
      </c>
    </row>
    <row r="50" spans="2:30" x14ac:dyDescent="0.3">
      <c r="Z50" s="6">
        <v>2034</v>
      </c>
      <c r="AA50" s="27">
        <v>18900</v>
      </c>
      <c r="AB50" s="23">
        <v>51300</v>
      </c>
      <c r="AC50" s="23">
        <v>907600</v>
      </c>
      <c r="AD50" s="26">
        <v>69</v>
      </c>
    </row>
    <row r="51" spans="2:30" ht="15" thickBot="1" x14ac:dyDescent="0.35">
      <c r="Z51" s="6">
        <v>2035</v>
      </c>
      <c r="AA51" s="27">
        <v>18900</v>
      </c>
      <c r="AB51" s="23">
        <v>51300</v>
      </c>
      <c r="AC51" s="23">
        <v>907600</v>
      </c>
      <c r="AD51" s="26">
        <v>70</v>
      </c>
    </row>
    <row r="52" spans="2:30" x14ac:dyDescent="0.3">
      <c r="B52" s="151" t="s">
        <v>124</v>
      </c>
      <c r="C52" s="152"/>
      <c r="D52" s="152"/>
      <c r="E52" s="152"/>
      <c r="F52" s="141"/>
      <c r="Z52" s="6">
        <v>2036</v>
      </c>
      <c r="AA52" s="27">
        <v>18900</v>
      </c>
      <c r="AB52" s="23">
        <v>51300</v>
      </c>
      <c r="AC52" s="23">
        <v>907600</v>
      </c>
      <c r="AD52" s="26">
        <v>72</v>
      </c>
    </row>
    <row r="53" spans="2:30" x14ac:dyDescent="0.3">
      <c r="B53" s="69" t="s">
        <v>161</v>
      </c>
      <c r="C53" s="1"/>
      <c r="D53" s="1"/>
      <c r="E53" s="1"/>
      <c r="F53" s="59"/>
      <c r="Z53" s="6">
        <v>2037</v>
      </c>
      <c r="AA53" s="27">
        <v>18900</v>
      </c>
      <c r="AB53" s="23">
        <v>51300</v>
      </c>
      <c r="AC53" s="23">
        <v>907600</v>
      </c>
      <c r="AD53" s="26">
        <v>73</v>
      </c>
    </row>
    <row r="54" spans="2:30" ht="35.25" customHeight="1" x14ac:dyDescent="0.3">
      <c r="B54" s="175" t="s">
        <v>116</v>
      </c>
      <c r="C54" s="96" t="s">
        <v>125</v>
      </c>
      <c r="D54" s="96" t="s">
        <v>473</v>
      </c>
      <c r="E54" s="96" t="s">
        <v>183</v>
      </c>
      <c r="F54" s="147" t="s">
        <v>469</v>
      </c>
      <c r="Z54" s="6">
        <v>2038</v>
      </c>
      <c r="AA54" s="27">
        <v>18900</v>
      </c>
      <c r="AB54" s="23">
        <v>51300</v>
      </c>
      <c r="AC54" s="23">
        <v>907600</v>
      </c>
      <c r="AD54" s="26">
        <v>74</v>
      </c>
    </row>
    <row r="55" spans="2:30" x14ac:dyDescent="0.3">
      <c r="B55" s="19" t="s">
        <v>127</v>
      </c>
      <c r="C55" s="133">
        <v>1.6E-2</v>
      </c>
      <c r="D55" s="133">
        <v>0.03</v>
      </c>
      <c r="E55" s="135">
        <f>D55/C55</f>
        <v>1.875</v>
      </c>
      <c r="F55" s="169">
        <f>_xlfn.RRI(20,C55,D55)</f>
        <v>3.1929584823308543E-2</v>
      </c>
      <c r="Z55" s="6">
        <v>2039</v>
      </c>
      <c r="AA55" s="27">
        <v>18900</v>
      </c>
      <c r="AB55" s="23">
        <v>51300</v>
      </c>
      <c r="AC55" s="23">
        <v>907600</v>
      </c>
      <c r="AD55" s="26">
        <v>75</v>
      </c>
    </row>
    <row r="56" spans="2:30" ht="15" thickBot="1" x14ac:dyDescent="0.35">
      <c r="B56" s="167" t="s">
        <v>457</v>
      </c>
      <c r="C56" s="171">
        <v>1.6E-2</v>
      </c>
      <c r="D56" s="171">
        <v>0.03</v>
      </c>
      <c r="E56" s="173">
        <f>D56/C56</f>
        <v>1.875</v>
      </c>
      <c r="F56" s="174">
        <f>_xlfn.RRI(20,C56,D56)</f>
        <v>3.1929584823308543E-2</v>
      </c>
      <c r="Z56" s="6">
        <v>2040</v>
      </c>
      <c r="AA56" s="27">
        <v>18900</v>
      </c>
      <c r="AB56" s="23">
        <v>51300</v>
      </c>
      <c r="AC56" s="23">
        <v>907600</v>
      </c>
      <c r="AD56" s="26">
        <v>76</v>
      </c>
    </row>
    <row r="57" spans="2:30" x14ac:dyDescent="0.3">
      <c r="Z57" s="6">
        <v>2041</v>
      </c>
      <c r="AA57" s="27">
        <v>18900</v>
      </c>
      <c r="AB57" s="23">
        <v>51300</v>
      </c>
      <c r="AC57" s="23">
        <v>907600</v>
      </c>
      <c r="AD57" s="26">
        <v>78</v>
      </c>
    </row>
    <row r="58" spans="2:30" x14ac:dyDescent="0.3">
      <c r="Z58" s="6">
        <v>2042</v>
      </c>
      <c r="AA58" s="27">
        <v>18900</v>
      </c>
      <c r="AB58" s="23">
        <v>51300</v>
      </c>
      <c r="AC58" s="23">
        <v>907600</v>
      </c>
      <c r="AD58" s="26">
        <v>79</v>
      </c>
    </row>
    <row r="59" spans="2:30" x14ac:dyDescent="0.3">
      <c r="E59" s="3"/>
      <c r="Z59" s="6">
        <v>2043</v>
      </c>
      <c r="AA59" s="27">
        <v>18900</v>
      </c>
      <c r="AB59" s="23">
        <v>51300</v>
      </c>
      <c r="AC59" s="23">
        <v>907600</v>
      </c>
      <c r="AD59" s="26">
        <v>80</v>
      </c>
    </row>
    <row r="60" spans="2:30" x14ac:dyDescent="0.3">
      <c r="Z60" s="6">
        <v>2044</v>
      </c>
      <c r="AA60" s="27">
        <v>18900</v>
      </c>
      <c r="AB60" s="23">
        <v>51300</v>
      </c>
      <c r="AC60" s="23">
        <v>907600</v>
      </c>
      <c r="AD60" s="26">
        <v>81</v>
      </c>
    </row>
    <row r="61" spans="2:30" x14ac:dyDescent="0.3">
      <c r="Z61" s="6">
        <v>2045</v>
      </c>
      <c r="AA61" s="27">
        <v>18900</v>
      </c>
      <c r="AB61" s="23">
        <v>51300</v>
      </c>
      <c r="AC61" s="23">
        <v>907600</v>
      </c>
      <c r="AD61" s="26">
        <v>82</v>
      </c>
    </row>
    <row r="62" spans="2:30" x14ac:dyDescent="0.3">
      <c r="Z62" s="6">
        <v>2046</v>
      </c>
      <c r="AA62" s="27">
        <v>18900</v>
      </c>
      <c r="AB62" s="23">
        <v>51300</v>
      </c>
      <c r="AC62" s="23">
        <v>907600</v>
      </c>
      <c r="AD62" s="26">
        <v>84</v>
      </c>
    </row>
    <row r="63" spans="2:30" x14ac:dyDescent="0.3">
      <c r="Z63" s="10">
        <v>2047</v>
      </c>
      <c r="AA63" s="30">
        <v>18900</v>
      </c>
      <c r="AB63" s="31">
        <v>51300</v>
      </c>
      <c r="AC63" s="31">
        <v>907600</v>
      </c>
      <c r="AD63" s="139">
        <v>85</v>
      </c>
    </row>
    <row r="64" spans="2:30" x14ac:dyDescent="0.3">
      <c r="AA64" s="23"/>
      <c r="AB64" s="23"/>
      <c r="AC64" s="23"/>
      <c r="AD64" s="23"/>
    </row>
    <row r="65" spans="27:30" x14ac:dyDescent="0.3">
      <c r="AA65" s="23"/>
      <c r="AB65" s="23"/>
      <c r="AC65" s="23"/>
      <c r="AD65" s="23"/>
    </row>
    <row r="66" spans="27:30" x14ac:dyDescent="0.3">
      <c r="AA66" s="23"/>
      <c r="AB66" s="23"/>
      <c r="AC66" s="23"/>
      <c r="AD66" s="23"/>
    </row>
  </sheetData>
  <sheetProtection algorithmName="SHA-512" hashValue="TBxrZgEGtcdAgSGV2AowQN98FMKuclD+JcsyXwF1+ObQVCoKBiPiKSF4kqNbfYNv3Wk9rvNh0cWdmDxnYyGLvA==" saltValue="HMcSeeG7bG2nVmD2lFXo9g==" spinCount="100000" sheet="1" objects="1" scenarios="1"/>
  <mergeCells count="48">
    <mergeCell ref="FA3:FN3"/>
    <mergeCell ref="FE4:FH4"/>
    <mergeCell ref="FI4:FN4"/>
    <mergeCell ref="GQ3:HD3"/>
    <mergeCell ref="GU4:GX4"/>
    <mergeCell ref="GY4:HD4"/>
    <mergeCell ref="FO3:GB3"/>
    <mergeCell ref="FS4:FV4"/>
    <mergeCell ref="FW4:GB4"/>
    <mergeCell ref="GC3:GP3"/>
    <mergeCell ref="GG4:GJ4"/>
    <mergeCell ref="GK4:GP4"/>
    <mergeCell ref="DY3:EL3"/>
    <mergeCell ref="EC4:EF4"/>
    <mergeCell ref="EG4:EL4"/>
    <mergeCell ref="EM3:EZ3"/>
    <mergeCell ref="EQ4:ET4"/>
    <mergeCell ref="EU4:EZ4"/>
    <mergeCell ref="CW3:DJ3"/>
    <mergeCell ref="DA4:DD4"/>
    <mergeCell ref="DE4:DJ4"/>
    <mergeCell ref="DK3:DX3"/>
    <mergeCell ref="DO4:DR4"/>
    <mergeCell ref="DS4:DX4"/>
    <mergeCell ref="BU3:CH3"/>
    <mergeCell ref="BY4:CB4"/>
    <mergeCell ref="CC4:CH4"/>
    <mergeCell ref="CI3:CV3"/>
    <mergeCell ref="CM4:CP4"/>
    <mergeCell ref="CQ4:CV4"/>
    <mergeCell ref="AS3:BF3"/>
    <mergeCell ref="AW4:AZ4"/>
    <mergeCell ref="BA4:BF4"/>
    <mergeCell ref="BG3:BT3"/>
    <mergeCell ref="BK4:BN4"/>
    <mergeCell ref="BO4:BT4"/>
    <mergeCell ref="C3:P3"/>
    <mergeCell ref="Q3:AD3"/>
    <mergeCell ref="U4:X4"/>
    <mergeCell ref="Y4:AD4"/>
    <mergeCell ref="AE3:AR3"/>
    <mergeCell ref="AI4:AL4"/>
    <mergeCell ref="AM4:AR4"/>
    <mergeCell ref="E43:G43"/>
    <mergeCell ref="B43:D43"/>
    <mergeCell ref="AA37:AD37"/>
    <mergeCell ref="K4:P4"/>
    <mergeCell ref="G4:J4"/>
  </mergeCells>
  <phoneticPr fontId="7" type="noConversion"/>
  <pageMargins left="0.7" right="0.7" top="0.75" bottom="0.75" header="0.3" footer="0.3"/>
  <pageSetup orientation="portrait" horizontalDpi="4294967293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AEE398-A03C-4BA3-8F27-BA95FF0426CE}">
  <sheetPr>
    <tabColor rgb="FF92D050"/>
  </sheetPr>
  <dimension ref="B1:F21"/>
  <sheetViews>
    <sheetView workbookViewId="0">
      <selection activeCell="F21" sqref="F21"/>
    </sheetView>
  </sheetViews>
  <sheetFormatPr defaultRowHeight="14.4" x14ac:dyDescent="0.3"/>
  <cols>
    <col min="2" max="2" width="51.21875" customWidth="1"/>
    <col min="3" max="3" width="13.21875" bestFit="1" customWidth="1"/>
    <col min="4" max="4" width="17.6640625" customWidth="1"/>
    <col min="5" max="5" width="22.44140625" customWidth="1"/>
    <col min="6" max="6" width="28.44140625" customWidth="1"/>
  </cols>
  <sheetData>
    <row r="1" spans="2:6" ht="15" thickBot="1" x14ac:dyDescent="0.35"/>
    <row r="2" spans="2:6" x14ac:dyDescent="0.3">
      <c r="B2" s="151" t="s">
        <v>117</v>
      </c>
      <c r="C2" s="152" t="s">
        <v>118</v>
      </c>
      <c r="D2" s="153" t="s">
        <v>4</v>
      </c>
    </row>
    <row r="3" spans="2:6" x14ac:dyDescent="0.3">
      <c r="B3" s="19" t="s">
        <v>119</v>
      </c>
      <c r="C3">
        <v>3.2743172752378031</v>
      </c>
      <c r="D3" s="59" t="s">
        <v>120</v>
      </c>
    </row>
    <row r="4" spans="2:6" x14ac:dyDescent="0.3">
      <c r="B4" s="69" t="s">
        <v>419</v>
      </c>
      <c r="D4" s="59"/>
    </row>
    <row r="5" spans="2:6" x14ac:dyDescent="0.3">
      <c r="B5" s="19" t="s">
        <v>121</v>
      </c>
      <c r="C5">
        <v>0.72</v>
      </c>
      <c r="D5" s="59" t="s">
        <v>122</v>
      </c>
    </row>
    <row r="6" spans="2:6" ht="15" thickBot="1" x14ac:dyDescent="0.35">
      <c r="B6" s="167" t="s">
        <v>123</v>
      </c>
      <c r="C6" s="20">
        <v>0.83</v>
      </c>
      <c r="D6" s="146" t="s">
        <v>122</v>
      </c>
    </row>
    <row r="7" spans="2:6" ht="15" thickBot="1" x14ac:dyDescent="0.35"/>
    <row r="8" spans="2:6" ht="43.2" x14ac:dyDescent="0.3">
      <c r="B8" s="151" t="s">
        <v>155</v>
      </c>
      <c r="C8" s="152"/>
      <c r="D8" s="152"/>
      <c r="E8" s="168" t="s">
        <v>159</v>
      </c>
      <c r="F8" s="153"/>
    </row>
    <row r="9" spans="2:6" x14ac:dyDescent="0.3">
      <c r="B9" s="19" t="s">
        <v>22</v>
      </c>
      <c r="C9" s="136">
        <v>4840986</v>
      </c>
      <c r="E9" t="s">
        <v>127</v>
      </c>
      <c r="F9" s="169">
        <v>0.16631701418202893</v>
      </c>
    </row>
    <row r="10" spans="2:6" x14ac:dyDescent="0.3">
      <c r="B10" s="19" t="s">
        <v>154</v>
      </c>
      <c r="C10" s="136">
        <f>$C$9*D10</f>
        <v>3737241.1920000003</v>
      </c>
      <c r="D10" s="133">
        <v>0.77200000000000002</v>
      </c>
      <c r="E10" t="s">
        <v>160</v>
      </c>
      <c r="F10" s="169">
        <v>0.83368298581797107</v>
      </c>
    </row>
    <row r="11" spans="2:6" x14ac:dyDescent="0.3">
      <c r="B11" s="19" t="s">
        <v>156</v>
      </c>
      <c r="C11" s="136">
        <f t="shared" ref="C11:C14" si="0">$C$9*D11</f>
        <v>421165.78199999995</v>
      </c>
      <c r="D11" s="133">
        <v>8.6999999999999994E-2</v>
      </c>
      <c r="F11" s="59"/>
    </row>
    <row r="12" spans="2:6" x14ac:dyDescent="0.3">
      <c r="B12" s="19" t="s">
        <v>157</v>
      </c>
      <c r="C12" s="136">
        <f t="shared" si="0"/>
        <v>43568.873999999996</v>
      </c>
      <c r="D12" s="133">
        <v>8.9999999999999993E-3</v>
      </c>
      <c r="F12" s="59"/>
    </row>
    <row r="13" spans="2:6" x14ac:dyDescent="0.3">
      <c r="B13" s="19" t="s">
        <v>128</v>
      </c>
      <c r="C13" s="136">
        <f t="shared" si="0"/>
        <v>77455.775999999998</v>
      </c>
      <c r="D13" s="133">
        <v>1.6E-2</v>
      </c>
      <c r="F13" s="59"/>
    </row>
    <row r="14" spans="2:6" ht="15" thickBot="1" x14ac:dyDescent="0.35">
      <c r="B14" s="167" t="s">
        <v>158</v>
      </c>
      <c r="C14" s="170">
        <f t="shared" si="0"/>
        <v>566395.36200000008</v>
      </c>
      <c r="D14" s="171">
        <v>0.11700000000000001</v>
      </c>
      <c r="E14" s="20"/>
      <c r="F14" s="146"/>
    </row>
    <row r="16" spans="2:6" ht="15" thickBot="1" x14ac:dyDescent="0.35"/>
    <row r="17" spans="2:6" x14ac:dyDescent="0.3">
      <c r="B17" s="151" t="s">
        <v>124</v>
      </c>
      <c r="C17" s="140"/>
      <c r="D17" s="140"/>
      <c r="E17" s="140"/>
      <c r="F17" s="141"/>
    </row>
    <row r="18" spans="2:6" x14ac:dyDescent="0.3">
      <c r="B18" s="69" t="s">
        <v>161</v>
      </c>
      <c r="F18" s="59"/>
    </row>
    <row r="19" spans="2:6" x14ac:dyDescent="0.3">
      <c r="B19" s="69" t="s">
        <v>116</v>
      </c>
      <c r="C19" s="1" t="s">
        <v>125</v>
      </c>
      <c r="D19" s="1" t="s">
        <v>473</v>
      </c>
      <c r="E19" s="96" t="s">
        <v>183</v>
      </c>
      <c r="F19" s="172" t="s">
        <v>126</v>
      </c>
    </row>
    <row r="20" spans="2:6" x14ac:dyDescent="0.3">
      <c r="B20" s="19" t="s">
        <v>127</v>
      </c>
      <c r="C20" s="133">
        <v>1.6E-2</v>
      </c>
      <c r="D20" s="133">
        <v>0.03</v>
      </c>
      <c r="E20" s="135">
        <f>D20/C20</f>
        <v>1.875</v>
      </c>
      <c r="F20" s="169">
        <f>($D$10*$F$9)/(1-($D$13*$F$9))+(($D$11*$F$9)/(1-($D$13*$F$9))/2.40727953019561)</f>
        <v>0.13476611762239588</v>
      </c>
    </row>
    <row r="21" spans="2:6" ht="15" thickBot="1" x14ac:dyDescent="0.35">
      <c r="B21" s="167" t="s">
        <v>162</v>
      </c>
      <c r="C21" s="171">
        <v>1.6E-2</v>
      </c>
      <c r="D21" s="171">
        <v>0.03</v>
      </c>
      <c r="E21" s="173">
        <f>D21/C21</f>
        <v>1.875</v>
      </c>
      <c r="F21" s="174">
        <f>($D$10*$F$10)/(1-($D$13*$F$10))+(($D$11*$F$10)/(1-($D$13*$F$10))/2.40727953019561)</f>
        <v>0.68284125619867275</v>
      </c>
    </row>
  </sheetData>
  <sheetProtection algorithmName="SHA-512" hashValue="ZvjuMSDLwUlLt/XAnviQkezzlyEyvoEw5aqHFwcNl0qLHs7DvR9LQK4V/7xHpkj+fjkHof6YZahY8q9lj9VjDw==" saltValue="x4ynJiRtqsYv/CMkpa2xeg==" spinCount="100000" sheet="1" objects="1" scenarios="1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899E0D-0564-4E14-9746-6A03565BEB66}">
  <sheetPr>
    <tabColor rgb="FF92D050"/>
  </sheetPr>
  <dimension ref="B1:F7"/>
  <sheetViews>
    <sheetView workbookViewId="0">
      <selection activeCell="B7" sqref="B7:F7"/>
    </sheetView>
  </sheetViews>
  <sheetFormatPr defaultRowHeight="14.4" x14ac:dyDescent="0.3"/>
  <cols>
    <col min="2" max="2" width="25.21875" customWidth="1"/>
    <col min="3" max="3" width="25.5546875" customWidth="1"/>
  </cols>
  <sheetData>
    <row r="1" spans="2:6" ht="15" thickBot="1" x14ac:dyDescent="0.35"/>
    <row r="2" spans="2:6" x14ac:dyDescent="0.3">
      <c r="B2" s="151" t="s">
        <v>110</v>
      </c>
      <c r="C2" s="153" t="s">
        <v>468</v>
      </c>
    </row>
    <row r="3" spans="2:6" x14ac:dyDescent="0.3">
      <c r="B3" s="19" t="s">
        <v>111</v>
      </c>
      <c r="C3" s="156">
        <v>0.46</v>
      </c>
    </row>
    <row r="4" spans="2:6" ht="15" thickBot="1" x14ac:dyDescent="0.35">
      <c r="B4" s="167" t="s">
        <v>112</v>
      </c>
      <c r="C4" s="158">
        <v>1.01</v>
      </c>
    </row>
    <row r="6" spans="2:6" x14ac:dyDescent="0.3">
      <c r="B6" t="s">
        <v>113</v>
      </c>
    </row>
    <row r="7" spans="2:6" ht="63" customHeight="1" x14ac:dyDescent="0.3">
      <c r="B7" s="239" t="s">
        <v>114</v>
      </c>
      <c r="C7" s="239"/>
      <c r="D7" s="239"/>
      <c r="E7" s="239"/>
      <c r="F7" s="239"/>
    </row>
  </sheetData>
  <sheetProtection algorithmName="SHA-512" hashValue="+NRfmU/AumhN6TrGOng8J+tj32V10P/f+m5bCOMednl8Z0VBmRBsN8BVPzTlo1esoZXR3kI0AHu9glTejOdYxQ==" saltValue="67kA+jLd4/lT7R3nBDhQWg==" spinCount="100000" sheet="1" objects="1" scenarios="1"/>
  <mergeCells count="1">
    <mergeCell ref="B7:F7"/>
  </mergeCells>
  <pageMargins left="0.7" right="0.7" top="0.75" bottom="0.75" header="0.3" footer="0.3"/>
  <drawing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4F4FD4-B674-4E17-A2DC-40FA21CA7CC3}">
  <sheetPr>
    <tabColor theme="9" tint="0.39997558519241921"/>
  </sheetPr>
  <dimension ref="B1:R30"/>
  <sheetViews>
    <sheetView topLeftCell="A3" workbookViewId="0">
      <selection activeCell="M33" sqref="M33"/>
    </sheetView>
  </sheetViews>
  <sheetFormatPr defaultRowHeight="14.4" x14ac:dyDescent="0.3"/>
  <cols>
    <col min="3" max="3" width="20.6640625" bestFit="1" customWidth="1"/>
    <col min="4" max="4" width="14.21875" bestFit="1" customWidth="1"/>
    <col min="5" max="5" width="12.5546875" bestFit="1" customWidth="1"/>
    <col min="6" max="6" width="14.21875" bestFit="1" customWidth="1"/>
    <col min="7" max="9" width="12.5546875" bestFit="1" customWidth="1"/>
    <col min="10" max="10" width="15.21875" bestFit="1" customWidth="1"/>
    <col min="11" max="16" width="12.5546875" bestFit="1" customWidth="1"/>
    <col min="17" max="18" width="14.21875" bestFit="1" customWidth="1"/>
  </cols>
  <sheetData>
    <row r="1" spans="2:18" ht="15" thickBot="1" x14ac:dyDescent="0.35"/>
    <row r="2" spans="2:18" x14ac:dyDescent="0.3">
      <c r="B2" s="164" t="s">
        <v>58</v>
      </c>
      <c r="C2" s="152" t="s">
        <v>115</v>
      </c>
      <c r="D2" s="152" t="s">
        <v>43</v>
      </c>
      <c r="E2" s="152" t="s">
        <v>53</v>
      </c>
      <c r="F2" s="152" t="s">
        <v>55</v>
      </c>
      <c r="G2" s="152" t="s">
        <v>54</v>
      </c>
      <c r="H2" s="152" t="s">
        <v>52</v>
      </c>
      <c r="I2" s="152" t="s">
        <v>50</v>
      </c>
      <c r="J2" s="152" t="s">
        <v>47</v>
      </c>
      <c r="K2" s="152" t="s">
        <v>46</v>
      </c>
      <c r="L2" s="152" t="s">
        <v>42</v>
      </c>
      <c r="M2" s="152" t="s">
        <v>45</v>
      </c>
      <c r="N2" s="152" t="s">
        <v>41</v>
      </c>
      <c r="O2" s="152" t="s">
        <v>48</v>
      </c>
      <c r="P2" s="152" t="s">
        <v>51</v>
      </c>
      <c r="Q2" s="152" t="s">
        <v>44</v>
      </c>
      <c r="R2" s="153" t="s">
        <v>49</v>
      </c>
    </row>
    <row r="3" spans="2:18" x14ac:dyDescent="0.3">
      <c r="B3" s="165">
        <v>2023</v>
      </c>
      <c r="C3" s="35">
        <f t="shared" ref="C3:C27" si="0">SUM(D3:R3)</f>
        <v>0</v>
      </c>
      <c r="R3" s="59"/>
    </row>
    <row r="4" spans="2:18" x14ac:dyDescent="0.3">
      <c r="B4" s="165">
        <v>2024</v>
      </c>
      <c r="C4" s="35">
        <f t="shared" si="0"/>
        <v>0</v>
      </c>
      <c r="D4" s="35"/>
      <c r="E4" s="35"/>
      <c r="F4" s="35"/>
      <c r="G4" s="35"/>
      <c r="H4" s="35"/>
      <c r="I4" s="35"/>
      <c r="R4" s="59"/>
    </row>
    <row r="5" spans="2:18" x14ac:dyDescent="0.3">
      <c r="B5" s="165">
        <v>2025</v>
      </c>
      <c r="C5" s="35">
        <f t="shared" si="0"/>
        <v>0</v>
      </c>
      <c r="D5" s="35"/>
      <c r="E5" s="35"/>
      <c r="F5" s="35"/>
      <c r="G5" s="35"/>
      <c r="H5" s="35"/>
      <c r="I5" s="35"/>
      <c r="R5" s="59"/>
    </row>
    <row r="6" spans="2:18" x14ac:dyDescent="0.3">
      <c r="B6" s="165">
        <v>2026</v>
      </c>
      <c r="C6" s="35">
        <f t="shared" si="0"/>
        <v>0</v>
      </c>
      <c r="D6" s="35"/>
      <c r="E6" s="35"/>
      <c r="F6" s="35"/>
      <c r="G6" s="35"/>
      <c r="H6" s="35"/>
      <c r="I6" s="35"/>
      <c r="R6" s="59"/>
    </row>
    <row r="7" spans="2:18" x14ac:dyDescent="0.3">
      <c r="B7" s="165">
        <v>2027</v>
      </c>
      <c r="C7" s="35">
        <f>SUM(D7:R7)</f>
        <v>12300000</v>
      </c>
      <c r="D7" s="162">
        <v>1725210</v>
      </c>
      <c r="E7" s="162">
        <v>572217</v>
      </c>
      <c r="F7" s="162">
        <v>1503651</v>
      </c>
      <c r="G7" s="162">
        <v>163188</v>
      </c>
      <c r="H7" s="162">
        <v>452670</v>
      </c>
      <c r="I7" s="162">
        <v>377109</v>
      </c>
      <c r="J7" s="162">
        <v>745473</v>
      </c>
      <c r="K7" s="162">
        <v>834405</v>
      </c>
      <c r="L7" s="162">
        <v>850632</v>
      </c>
      <c r="M7" s="162">
        <v>942819</v>
      </c>
      <c r="N7" s="162">
        <v>363162</v>
      </c>
      <c r="O7" s="162">
        <v>581697</v>
      </c>
      <c r="P7" s="162">
        <v>537351</v>
      </c>
      <c r="Q7" s="162">
        <v>1253235</v>
      </c>
      <c r="R7" s="163">
        <v>1397181</v>
      </c>
    </row>
    <row r="8" spans="2:18" x14ac:dyDescent="0.3">
      <c r="B8" s="165">
        <v>2028</v>
      </c>
      <c r="C8" s="35">
        <f t="shared" si="0"/>
        <v>0</v>
      </c>
    </row>
    <row r="9" spans="2:18" x14ac:dyDescent="0.3">
      <c r="B9" s="165">
        <v>2029</v>
      </c>
      <c r="C9" s="35">
        <f t="shared" si="0"/>
        <v>0</v>
      </c>
      <c r="D9" s="36"/>
      <c r="E9" s="38"/>
      <c r="F9" s="36"/>
      <c r="G9" s="38"/>
      <c r="H9" s="38"/>
      <c r="I9" s="38"/>
      <c r="R9" s="59"/>
    </row>
    <row r="10" spans="2:18" x14ac:dyDescent="0.3">
      <c r="B10" s="165">
        <v>2030</v>
      </c>
      <c r="C10" s="35">
        <f t="shared" si="0"/>
        <v>0</v>
      </c>
      <c r="D10" s="36"/>
      <c r="E10" s="36"/>
      <c r="F10" s="36"/>
      <c r="G10" s="36"/>
      <c r="H10" s="36"/>
      <c r="I10" s="36"/>
      <c r="R10" s="59"/>
    </row>
    <row r="11" spans="2:18" x14ac:dyDescent="0.3">
      <c r="B11" s="165">
        <v>2031</v>
      </c>
      <c r="C11" s="35">
        <f t="shared" si="0"/>
        <v>0</v>
      </c>
      <c r="D11" s="36"/>
      <c r="E11" s="36"/>
      <c r="F11" s="36"/>
      <c r="G11" s="36"/>
      <c r="H11" s="36"/>
      <c r="I11" s="36"/>
      <c r="R11" s="59"/>
    </row>
    <row r="12" spans="2:18" x14ac:dyDescent="0.3">
      <c r="B12" s="165">
        <v>2032</v>
      </c>
      <c r="C12" s="35">
        <f t="shared" si="0"/>
        <v>0</v>
      </c>
      <c r="D12" s="35"/>
      <c r="E12" s="35"/>
      <c r="F12" s="35"/>
      <c r="G12" s="35"/>
      <c r="H12" s="35"/>
      <c r="I12" s="35"/>
      <c r="R12" s="59"/>
    </row>
    <row r="13" spans="2:18" x14ac:dyDescent="0.3">
      <c r="B13" s="165">
        <v>2033</v>
      </c>
      <c r="C13" s="35">
        <f t="shared" si="0"/>
        <v>0</v>
      </c>
      <c r="D13" s="35"/>
      <c r="E13" s="35"/>
      <c r="F13" s="35"/>
      <c r="G13" s="35"/>
      <c r="H13" s="35"/>
      <c r="I13" s="35"/>
      <c r="R13" s="59"/>
    </row>
    <row r="14" spans="2:18" x14ac:dyDescent="0.3">
      <c r="B14" s="165">
        <v>2034</v>
      </c>
      <c r="C14" s="35">
        <f t="shared" si="0"/>
        <v>0</v>
      </c>
      <c r="D14" s="35"/>
      <c r="E14" s="35"/>
      <c r="F14" s="35"/>
      <c r="G14" s="35"/>
      <c r="H14" s="35"/>
      <c r="I14" s="35"/>
      <c r="R14" s="59"/>
    </row>
    <row r="15" spans="2:18" x14ac:dyDescent="0.3">
      <c r="B15" s="165">
        <v>2035</v>
      </c>
      <c r="C15" s="35">
        <f t="shared" si="0"/>
        <v>0</v>
      </c>
      <c r="D15" s="35"/>
      <c r="E15" s="35"/>
      <c r="F15" s="35"/>
      <c r="G15" s="35"/>
      <c r="H15" s="35"/>
      <c r="I15" s="35"/>
      <c r="R15" s="59"/>
    </row>
    <row r="16" spans="2:18" x14ac:dyDescent="0.3">
      <c r="B16" s="165">
        <v>2036</v>
      </c>
      <c r="C16" s="35">
        <f t="shared" si="0"/>
        <v>0</v>
      </c>
      <c r="D16" s="35"/>
      <c r="E16" s="35"/>
      <c r="F16" s="35"/>
      <c r="G16" s="35"/>
      <c r="H16" s="35"/>
      <c r="I16" s="35"/>
      <c r="R16" s="59"/>
    </row>
    <row r="17" spans="2:18" x14ac:dyDescent="0.3">
      <c r="B17" s="165">
        <v>2037</v>
      </c>
      <c r="C17" s="35">
        <f t="shared" si="0"/>
        <v>0</v>
      </c>
      <c r="D17" s="35"/>
      <c r="E17" s="35"/>
      <c r="F17" s="35"/>
      <c r="G17" s="35"/>
      <c r="H17" s="35"/>
      <c r="I17" s="35"/>
      <c r="R17" s="59"/>
    </row>
    <row r="18" spans="2:18" x14ac:dyDescent="0.3">
      <c r="B18" s="165">
        <v>2038</v>
      </c>
      <c r="C18" s="35">
        <f t="shared" si="0"/>
        <v>0</v>
      </c>
      <c r="D18" s="35"/>
      <c r="E18" s="35"/>
      <c r="F18" s="35"/>
      <c r="G18" s="35"/>
      <c r="H18" s="35"/>
      <c r="I18" s="35"/>
      <c r="R18" s="59"/>
    </row>
    <row r="19" spans="2:18" x14ac:dyDescent="0.3">
      <c r="B19" s="165">
        <v>2039</v>
      </c>
      <c r="C19" s="35">
        <f t="shared" si="0"/>
        <v>0</v>
      </c>
      <c r="D19" s="35"/>
      <c r="E19" s="35"/>
      <c r="F19" s="35"/>
      <c r="G19" s="35"/>
      <c r="H19" s="35"/>
      <c r="I19" s="35"/>
      <c r="R19" s="59"/>
    </row>
    <row r="20" spans="2:18" x14ac:dyDescent="0.3">
      <c r="B20" s="165">
        <v>2040</v>
      </c>
      <c r="C20" s="35">
        <f t="shared" si="0"/>
        <v>0</v>
      </c>
      <c r="D20" s="35"/>
      <c r="E20" s="35"/>
      <c r="F20" s="35"/>
      <c r="G20" s="35"/>
      <c r="H20" s="35"/>
      <c r="I20" s="35"/>
      <c r="R20" s="59"/>
    </row>
    <row r="21" spans="2:18" x14ac:dyDescent="0.3">
      <c r="B21" s="165">
        <v>2041</v>
      </c>
      <c r="C21" s="35">
        <f t="shared" si="0"/>
        <v>0</v>
      </c>
      <c r="D21" s="35"/>
      <c r="E21" s="35"/>
      <c r="F21" s="35"/>
      <c r="G21" s="35"/>
      <c r="H21" s="35"/>
      <c r="I21" s="35"/>
      <c r="R21" s="59"/>
    </row>
    <row r="22" spans="2:18" x14ac:dyDescent="0.3">
      <c r="B22" s="165">
        <v>2042</v>
      </c>
      <c r="C22" s="35">
        <f t="shared" si="0"/>
        <v>0</v>
      </c>
      <c r="D22" s="35"/>
      <c r="E22" s="35"/>
      <c r="F22" s="35"/>
      <c r="G22" s="35"/>
      <c r="H22" s="35"/>
      <c r="I22" s="35"/>
      <c r="R22" s="59"/>
    </row>
    <row r="23" spans="2:18" x14ac:dyDescent="0.3">
      <c r="B23" s="165">
        <v>2043</v>
      </c>
      <c r="C23" s="35">
        <f t="shared" si="0"/>
        <v>0</v>
      </c>
      <c r="D23" s="35"/>
      <c r="E23" s="35"/>
      <c r="F23" s="35"/>
      <c r="G23" s="35"/>
      <c r="H23" s="35"/>
      <c r="I23" s="35"/>
      <c r="R23" s="59"/>
    </row>
    <row r="24" spans="2:18" x14ac:dyDescent="0.3">
      <c r="B24" s="165">
        <v>2044</v>
      </c>
      <c r="C24" s="35">
        <f t="shared" si="0"/>
        <v>0</v>
      </c>
      <c r="D24" s="35"/>
      <c r="E24" s="35"/>
      <c r="F24" s="35"/>
      <c r="G24" s="35"/>
      <c r="H24" s="35"/>
      <c r="I24" s="35"/>
      <c r="R24" s="59"/>
    </row>
    <row r="25" spans="2:18" x14ac:dyDescent="0.3">
      <c r="B25" s="165">
        <v>2045</v>
      </c>
      <c r="C25" s="35">
        <f t="shared" si="0"/>
        <v>0</v>
      </c>
      <c r="D25" s="35"/>
      <c r="E25" s="35"/>
      <c r="F25" s="35"/>
      <c r="G25" s="35"/>
      <c r="H25" s="35"/>
      <c r="I25" s="35"/>
      <c r="R25" s="59"/>
    </row>
    <row r="26" spans="2:18" x14ac:dyDescent="0.3">
      <c r="B26" s="165">
        <v>2046</v>
      </c>
      <c r="C26" s="35">
        <f t="shared" si="0"/>
        <v>0</v>
      </c>
      <c r="D26" s="35"/>
      <c r="E26" s="35"/>
      <c r="F26" s="35"/>
      <c r="G26" s="35"/>
      <c r="H26" s="35"/>
      <c r="I26" s="35"/>
      <c r="R26" s="59"/>
    </row>
    <row r="27" spans="2:18" x14ac:dyDescent="0.3">
      <c r="B27" s="165">
        <v>2047</v>
      </c>
      <c r="C27" s="35">
        <f t="shared" si="0"/>
        <v>0</v>
      </c>
      <c r="D27" s="35"/>
      <c r="E27" s="35"/>
      <c r="F27" s="35"/>
      <c r="G27" s="35"/>
      <c r="H27" s="35"/>
      <c r="I27" s="35"/>
      <c r="R27" s="59"/>
    </row>
    <row r="28" spans="2:18" ht="43.8" thickBot="1" x14ac:dyDescent="0.35">
      <c r="B28" s="166" t="s">
        <v>207</v>
      </c>
      <c r="C28" s="73">
        <f>SUM(D28:R28)</f>
        <v>0</v>
      </c>
      <c r="D28" s="73">
        <v>0</v>
      </c>
      <c r="E28" s="73">
        <v>0</v>
      </c>
      <c r="F28" s="73">
        <v>0</v>
      </c>
      <c r="G28" s="73">
        <v>0</v>
      </c>
      <c r="H28" s="73">
        <v>0</v>
      </c>
      <c r="I28" s="73">
        <v>0</v>
      </c>
      <c r="J28" s="73">
        <v>0</v>
      </c>
      <c r="K28" s="73">
        <v>0</v>
      </c>
      <c r="L28" s="73">
        <v>0</v>
      </c>
      <c r="M28" s="73">
        <v>0</v>
      </c>
      <c r="N28" s="73">
        <v>0</v>
      </c>
      <c r="O28" s="73">
        <v>0</v>
      </c>
      <c r="P28" s="73">
        <v>0</v>
      </c>
      <c r="Q28" s="73">
        <v>0</v>
      </c>
      <c r="R28" s="73">
        <v>0</v>
      </c>
    </row>
    <row r="30" spans="2:18" x14ac:dyDescent="0.3">
      <c r="C30" t="s">
        <v>467</v>
      </c>
    </row>
  </sheetData>
  <sheetProtection algorithmName="SHA-512" hashValue="9R01RKAChNk3Efh+M83I5dIbmarNtohybVnp2QGC7a5Yn3LrYTdg02aj/ImTSWTq0JSSmGWl5yrPcsgxv52W8Q==" saltValue="xwokf3Ees2QOTpddWDhrcg==" spinCount="100000" sheet="1" objects="1" scenarios="1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ategory xmlns="a6681f59-5774-4b9d-ad35-eee7fa4b7469">Application Information</Category>
    <URL xmlns="http://schemas.microsoft.com/sharepoint/v3">
      <Url xsi:nil="true"/>
      <Description xsi:nil="true"/>
    </URL>
    <Sort_x0020_Order xmlns="a6681f59-5774-4b9d-ad35-eee7fa4b7469">9</Sort_x0020_Order>
    <PublishingExpirationDate xmlns="http://schemas.microsoft.com/sharepoint/v3" xsi:nil="true"/>
    <PublishingStartDate xmlns="http://schemas.microsoft.com/sharepoint/v3" xsi:nil="true"/>
  </documentManagement>
</p:properties>
</file>

<file path=customXml/item2.xml><?xml version="1.0" encoding="utf-8"?>
<?mso-contentType ?>
<spe:Receivers xmlns:spe="http://schemas.microsoft.com/sharepoint/events"/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1B8A1A83C0010469A4EBE52A6C7385F" ma:contentTypeVersion="5" ma:contentTypeDescription="Create a new document." ma:contentTypeScope="" ma:versionID="4c87bfbcaff03caf590b2fa369df08f6">
  <xsd:schema xmlns:xsd="http://www.w3.org/2001/XMLSchema" xmlns:xs="http://www.w3.org/2001/XMLSchema" xmlns:p="http://schemas.microsoft.com/office/2006/metadata/properties" xmlns:ns1="http://schemas.microsoft.com/sharepoint/v3" xmlns:ns2="16f00c2e-ac5c-418b-9f13-a0771dbd417d" xmlns:ns3="a6681f59-5774-4b9d-ad35-eee7fa4b7469" targetNamespace="http://schemas.microsoft.com/office/2006/metadata/properties" ma:root="true" ma:fieldsID="4cc219f7e13aadf63b6dcb49b22d69c2" ns1:_="" ns2:_="" ns3:_="">
    <xsd:import namespace="http://schemas.microsoft.com/sharepoint/v3"/>
    <xsd:import namespace="16f00c2e-ac5c-418b-9f13-a0771dbd417d"/>
    <xsd:import namespace="a6681f59-5774-4b9d-ad35-eee7fa4b7469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1:URL" minOccurs="0"/>
                <xsd:element ref="ns1:PublishingStartDate" minOccurs="0"/>
                <xsd:element ref="ns1:PublishingExpirationDate" minOccurs="0"/>
                <xsd:element ref="ns3:Category" minOccurs="0"/>
                <xsd:element ref="ns3:Sort_x0020_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URL" ma:index="7" nillable="true" ma:displayName="URL" ma:internalName="URL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f00c2e-ac5c-418b-9f13-a0771dbd417d" elementFormDefault="qualified">
    <xsd:import namespace="http://schemas.microsoft.com/office/2006/documentManagement/types"/>
    <xsd:import namespace="http://schemas.microsoft.com/office/infopath/2007/PartnerControls"/>
    <xsd:element name="_dlc_DocId" ma:index="4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5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6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6681f59-5774-4b9d-ad35-eee7fa4b7469" elementFormDefault="qualified">
    <xsd:import namespace="http://schemas.microsoft.com/office/2006/documentManagement/types"/>
    <xsd:import namespace="http://schemas.microsoft.com/office/infopath/2007/PartnerControls"/>
    <xsd:element name="Category" ma:index="10" nillable="true" ma:displayName="Category" ma:format="Dropdown" ma:internalName="Category" ma:readOnly="false">
      <xsd:simpleType>
        <xsd:restriction base="dms:Choice">
          <xsd:enumeration value="Appendices and Supporting Information"/>
          <xsd:enumeration value="Application Information"/>
          <xsd:enumeration value="Letters of Support"/>
        </xsd:restriction>
      </xsd:simpleType>
    </xsd:element>
    <xsd:element name="Sort_x0020_Order" ma:index="11" nillable="true" ma:displayName="Sort Order" ma:internalName="Sort_x0020_Order" ma:readOnly="false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2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E49553E-6C14-45E9-9C31-B207D92D1928}"/>
</file>

<file path=customXml/itemProps2.xml><?xml version="1.0" encoding="utf-8"?>
<ds:datastoreItem xmlns:ds="http://schemas.openxmlformats.org/officeDocument/2006/customXml" ds:itemID="{7FE371AE-593A-477A-96BE-0FD22212BF32}"/>
</file>

<file path=customXml/itemProps3.xml><?xml version="1.0" encoding="utf-8"?>
<ds:datastoreItem xmlns:ds="http://schemas.openxmlformats.org/officeDocument/2006/customXml" ds:itemID="{13CC3B03-65AD-4AC0-9BAF-DCDD1DD6C5F2}"/>
</file>

<file path=customXml/itemProps4.xml><?xml version="1.0" encoding="utf-8"?>
<ds:datastoreItem xmlns:ds="http://schemas.openxmlformats.org/officeDocument/2006/customXml" ds:itemID="{5787B7E4-A4DD-4336-82FA-70F0E7F29DB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BCA</vt:lpstr>
      <vt:lpstr>Pop. Projections</vt:lpstr>
      <vt:lpstr>Safety and Crash Costs</vt:lpstr>
      <vt:lpstr>Safety CMFs</vt:lpstr>
      <vt:lpstr>Health - Mortality</vt:lpstr>
      <vt:lpstr>Health - Emissions</vt:lpstr>
      <vt:lpstr>Trip Multipliers</vt:lpstr>
      <vt:lpstr>Economic Activity</vt:lpstr>
      <vt:lpstr>Residual Value</vt:lpstr>
      <vt:lpstr>Capital Cost</vt:lpstr>
      <vt:lpstr>O&amp;M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BCA Calculations (locked)</dc:title>
  <dc:creator>Jordan Powell</dc:creator>
  <cp:lastModifiedBy>Steven L. Hulsey</cp:lastModifiedBy>
  <dcterms:created xsi:type="dcterms:W3CDTF">2023-01-13T14:38:19Z</dcterms:created>
  <dcterms:modified xsi:type="dcterms:W3CDTF">2023-02-27T17:02:29Z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0x01010021B8A1A83C0010469A4EBE52A6C7385F</vt:lpwstr>
  </property>
  <property fmtid="{D5CDD505-2E9C-101B-9397-08002B2CF9AE}" pid="3" name="Order">
    <vt:r8>1600</vt:r8>
  </property>
</Properties>
</file>